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s998095" algorithmName="SHA-512" hashValue="jAL1NRY5UrvJFDTlGY/poKD/MQT5QIEt8odspBwniq0idOIj6SiHfDNoX2u9IgYBvvNnOgDgoBTafoHP3USCDA==" saltValue="vf19CkfhNQJMQ7IujyyngA==" spinCount="100000"/>
  <workbookPr codeName="ThisWorkbook" defaultThemeVersion="124226"/>
  <mc:AlternateContent xmlns:mc="http://schemas.openxmlformats.org/markup-compatibility/2006">
    <mc:Choice Requires="x15">
      <x15ac:absPath xmlns:x15ac="http://schemas.microsoft.com/office/spreadsheetml/2010/11/ac" url="L:\AEP SPP Trans Formula Rates PSO SWE OKT SWT\2019 Projection\Corrected 2019 Projection\"/>
    </mc:Choice>
  </mc:AlternateContent>
  <bookViews>
    <workbookView xWindow="300" yWindow="0" windowWidth="17490" windowHeight="3045" tabRatio="870" activeTab="4"/>
  </bookViews>
  <sheets>
    <sheet name="NITS Including True Up" sheetId="178" r:id="rId1"/>
    <sheet name="Zonal Rates" sheetId="147" r:id="rId2"/>
    <sheet name="Sch 1 Rates" sheetId="149" r:id="rId3"/>
    <sheet name="PSO Sch 11 Rates" sheetId="176" r:id="rId4"/>
    <sheet name="SWE Sch 11 Rates" sheetId="177" r:id="rId5"/>
    <sheet name="Load WS" sheetId="153" r:id="rId6"/>
    <sheet name="PSO TCOS" sheetId="86" r:id="rId7"/>
    <sheet name="PSO WS A RB Support " sheetId="71" r:id="rId8"/>
    <sheet name="PSO WS B - Facility credits" sheetId="146" r:id="rId9"/>
    <sheet name="PSO WS C ADIT &amp; ADITC" sheetId="89" r:id="rId10"/>
    <sheet name="PSO WS C-1 ADIT EOY" sheetId="139" r:id="rId11"/>
    <sheet name="PSO WS C-2 ADIT BOY" sheetId="90" r:id="rId12"/>
    <sheet name="PSO WS C-3 ADIT Proration" sheetId="145" r:id="rId13"/>
    <sheet name="PSO WS D Working Capital" sheetId="74" r:id="rId14"/>
    <sheet name="PSO WS E IPP Credits" sheetId="52" r:id="rId15"/>
    <sheet name="PSO WS F BPU ATRR" sheetId="143" r:id="rId16"/>
    <sheet name="PSO WS G BPU ATRR" sheetId="129" r:id="rId17"/>
    <sheet name="PSO WS H Rev Credits" sheetId="96" r:id="rId18"/>
    <sheet name="PSO WS I Exp Adj" sheetId="91" r:id="rId19"/>
    <sheet name="PSO WS J Misc Exp" sheetId="39" r:id="rId20"/>
    <sheet name="PSO WS K State Taxes" sheetId="94" r:id="rId21"/>
    <sheet name="PSO WS L Other Taxes" sheetId="78" r:id="rId22"/>
    <sheet name="PSO WS M Avg Cap Structure" sheetId="95" r:id="rId23"/>
    <sheet name="SWEPCO TCOS" sheetId="156" r:id="rId24"/>
    <sheet name="SWEPCO WS A RB Support " sheetId="157" r:id="rId25"/>
    <sheet name="SWEPCO WS B - Facility credits" sheetId="158" r:id="rId26"/>
    <sheet name="SWEPCO WS C ADIT &amp; ADITC" sheetId="159" r:id="rId27"/>
    <sheet name="SWEPCO WS C-1 ADIT EOY" sheetId="160" r:id="rId28"/>
    <sheet name="SWEPCO WS C-2 ADIT BOY" sheetId="161" r:id="rId29"/>
    <sheet name="SWEPCO WS C-3 ADIT Proration" sheetId="162" r:id="rId30"/>
    <sheet name="SWEPCO WS D Working Capital" sheetId="163" r:id="rId31"/>
    <sheet name="SWEPCO WS E IPP Credits" sheetId="164" r:id="rId32"/>
    <sheet name="SWEPCO WS F BPU ATRR" sheetId="165" r:id="rId33"/>
    <sheet name="SWEPCO WS G BPU ATRR" sheetId="166" r:id="rId34"/>
    <sheet name="SWEPCO WS H Rev Credits" sheetId="167" r:id="rId35"/>
    <sheet name="SWEPCO WS I Exp Adj" sheetId="168" r:id="rId36"/>
    <sheet name="SWEPCO WS J Misc Exp" sheetId="169" r:id="rId37"/>
    <sheet name="SWEPCO WS K State Taxes" sheetId="170" r:id="rId38"/>
    <sheet name="SWEPCO WS L Other Taxes" sheetId="171" r:id="rId39"/>
    <sheet name="SWEPCO WS M Avg Cap Structure" sheetId="172" r:id="rId40"/>
  </sheets>
  <externalReferences>
    <externalReference r:id="rId41"/>
    <externalReference r:id="rId42"/>
    <externalReference r:id="rId43"/>
    <externalReference r:id="rId44"/>
    <externalReference r:id="rId45"/>
  </externalReferences>
  <definedNames>
    <definedName name="_NPh1" localSheetId="3">#REF!</definedName>
    <definedName name="_NPh1" localSheetId="4">#REF!</definedName>
    <definedName name="_NPh1">#REF!</definedName>
    <definedName name="ActExcessAmt" localSheetId="3">#REF!</definedName>
    <definedName name="ActExcessAmt" localSheetId="4">#REF!</definedName>
    <definedName name="ActExcessAmt">#REF!</definedName>
    <definedName name="ActGrTaxAmt" localSheetId="3">#REF!</definedName>
    <definedName name="ActGrTaxAmt" localSheetId="4">#REF!</definedName>
    <definedName name="ActGrTaxAmt">#REF!</definedName>
    <definedName name="ActKWHExcess" localSheetId="3">#REF!</definedName>
    <definedName name="ActKWHExcess" localSheetId="4">#REF!</definedName>
    <definedName name="ActKWHExcess">#REF!</definedName>
    <definedName name="ActKWHNotUsed" localSheetId="3">#REF!</definedName>
    <definedName name="ActKWHNotUsed" localSheetId="4">#REF!</definedName>
    <definedName name="ActKWHNotUsed">#REF!</definedName>
    <definedName name="ActKWHRes" localSheetId="3">#REF!</definedName>
    <definedName name="ActKWHRes" localSheetId="4">#REF!</definedName>
    <definedName name="ActKWHRes">#REF!</definedName>
    <definedName name="ActKWHSubTot" localSheetId="3">#REF!</definedName>
    <definedName name="ActKWHSubTot" localSheetId="4">#REF!</definedName>
    <definedName name="ActKWHSubTot">#REF!</definedName>
    <definedName name="ActKWHTot" localSheetId="3">#REF!</definedName>
    <definedName name="ActKWHTot" localSheetId="4">#REF!</definedName>
    <definedName name="ActKWHTot">#REF!</definedName>
    <definedName name="ActNotUsedAmt" localSheetId="3">#REF!</definedName>
    <definedName name="ActNotUsedAmt" localSheetId="4">#REF!</definedName>
    <definedName name="ActNotUsedAmt">#REF!</definedName>
    <definedName name="ActResAmt" localSheetId="3">#REF!</definedName>
    <definedName name="ActResAmt" localSheetId="4">#REF!</definedName>
    <definedName name="ActResAmt">#REF!</definedName>
    <definedName name="ActSubTotAmt" localSheetId="3">#REF!</definedName>
    <definedName name="ActSubTotAmt" localSheetId="4">#REF!</definedName>
    <definedName name="ActSubTotAmt">#REF!</definedName>
    <definedName name="ActTotAmt" localSheetId="3">#REF!</definedName>
    <definedName name="ActTotAmt" localSheetId="4">#REF!</definedName>
    <definedName name="ActTotAmt">#REF!</definedName>
    <definedName name="AdminChg" localSheetId="3">#REF!</definedName>
    <definedName name="AdminChg" localSheetId="4">#REF!</definedName>
    <definedName name="AdminChg">#REF!</definedName>
    <definedName name="AEP" localSheetId="3">#REF!</definedName>
    <definedName name="AEP" localSheetId="4">#REF!</definedName>
    <definedName name="AEP">#REF!</definedName>
    <definedName name="allocator" localSheetId="3">#REF!</definedName>
    <definedName name="allocator" localSheetId="4">#REF!</definedName>
    <definedName name="allocator">#REF!</definedName>
    <definedName name="allocators" localSheetId="3">#REF!</definedName>
    <definedName name="allocators" localSheetId="4">#REF!</definedName>
    <definedName name="allocators">#REF!</definedName>
    <definedName name="allocatorsSWP" localSheetId="3">#REF!</definedName>
    <definedName name="allocatorsSWP" localSheetId="4">#REF!</definedName>
    <definedName name="allocatorsSWP">#REF!</definedName>
    <definedName name="allocatorSWP1">'[1]SWP TCOS 2008 13 Month'!$I$317:$J$328</definedName>
    <definedName name="APCO" localSheetId="3">#REF!</definedName>
    <definedName name="APCO" localSheetId="4">#REF!</definedName>
    <definedName name="APCO">#REF!</definedName>
    <definedName name="APCo_Proj_Allocators">#REF!</definedName>
    <definedName name="APCo_TU_Allocators">#REF!</definedName>
    <definedName name="AVRGPWRFCTR" localSheetId="3">#REF!</definedName>
    <definedName name="AVRGPWRFCTR" localSheetId="4">#REF!</definedName>
    <definedName name="AVRGPWRFCTR">#REF!</definedName>
    <definedName name="B1HRSCRMO" localSheetId="3">#REF!</definedName>
    <definedName name="B1HRSCRMO" localSheetId="4">#REF!</definedName>
    <definedName name="B1HRSCRMO">#REF!</definedName>
    <definedName name="B2HRSCRMO" localSheetId="3">#REF!</definedName>
    <definedName name="B2HRSCRMO" localSheetId="4">#REF!</definedName>
    <definedName name="B2HRSCRMO">#REF!</definedName>
    <definedName name="BASERATECHG" localSheetId="3">#REF!</definedName>
    <definedName name="BASERATECHG" localSheetId="4">#REF!</definedName>
    <definedName name="BASERATECHG">#REF!</definedName>
    <definedName name="BILLKWH" localSheetId="3">#REF!</definedName>
    <definedName name="BILLKWH" localSheetId="4">#REF!</definedName>
    <definedName name="BILLKWH">#REF!</definedName>
    <definedName name="BIRPCCHG" localSheetId="3">#REF!</definedName>
    <definedName name="BIRPCCHG" localSheetId="4">#REF!</definedName>
    <definedName name="BIRPCCHG">#REF!</definedName>
    <definedName name="BIRPDCHG1" localSheetId="3">#REF!</definedName>
    <definedName name="BIRPDCHG1" localSheetId="4">#REF!</definedName>
    <definedName name="BIRPDCHG1">#REF!</definedName>
    <definedName name="BIRPDCHG2" localSheetId="3">#REF!</definedName>
    <definedName name="BIRPDCHG2" localSheetId="4">#REF!</definedName>
    <definedName name="BIRPDCHG2">#REF!</definedName>
    <definedName name="BIRPECHG1" localSheetId="3">#REF!</definedName>
    <definedName name="BIRPECHG1" localSheetId="4">#REF!</definedName>
    <definedName name="BIRPECHG1">#REF!</definedName>
    <definedName name="BIRPECHGB1" localSheetId="3">#REF!</definedName>
    <definedName name="BIRPECHGB1" localSheetId="4">#REF!</definedName>
    <definedName name="BIRPECHGB1">#REF!</definedName>
    <definedName name="BIRPECHGB2" localSheetId="3">#REF!</definedName>
    <definedName name="BIRPECHGB2" localSheetId="4">#REF!</definedName>
    <definedName name="BIRPECHGB2">#REF!</definedName>
    <definedName name="BIRPECHGB3" localSheetId="3">#REF!</definedName>
    <definedName name="BIRPECHGB3" localSheetId="4">#REF!</definedName>
    <definedName name="BIRPECHGB3">#REF!</definedName>
    <definedName name="BIRPECHGW" localSheetId="3">#REF!</definedName>
    <definedName name="BIRPECHGW" localSheetId="4">#REF!</definedName>
    <definedName name="BIRPECHGW">#REF!</definedName>
    <definedName name="BIRPKWH1" localSheetId="3">#REF!</definedName>
    <definedName name="BIRPKWH1" localSheetId="4">#REF!</definedName>
    <definedName name="BIRPKWH1">#REF!</definedName>
    <definedName name="BIRPKWHB1" localSheetId="3">#REF!</definedName>
    <definedName name="BIRPKWHB1" localSheetId="4">#REF!</definedName>
    <definedName name="BIRPKWHB1">#REF!</definedName>
    <definedName name="BIRPKWHB2" localSheetId="3">#REF!</definedName>
    <definedName name="BIRPKWHB2" localSheetId="4">#REF!</definedName>
    <definedName name="BIRPKWHB2">#REF!</definedName>
    <definedName name="BIRPKWHB3" localSheetId="3">#REF!</definedName>
    <definedName name="BIRPKWHB3" localSheetId="4">#REF!</definedName>
    <definedName name="BIRPKWHB3">#REF!</definedName>
    <definedName name="BIRPKWHWH" localSheetId="3">#REF!</definedName>
    <definedName name="BIRPKWHWH" localSheetId="4">#REF!</definedName>
    <definedName name="BIRPKWHWH">#REF!</definedName>
    <definedName name="BIRPMECHG1" localSheetId="3">#REF!</definedName>
    <definedName name="BIRPMECHG1" localSheetId="4">#REF!</definedName>
    <definedName name="BIRPMECHG1">#REF!</definedName>
    <definedName name="BIRPOFKWH" localSheetId="3">#REF!</definedName>
    <definedName name="BIRPOFKWH" localSheetId="4">#REF!</definedName>
    <definedName name="BIRPOFKWH">#REF!</definedName>
    <definedName name="BIRPOPKWH" localSheetId="3">#REF!</definedName>
    <definedName name="BIRPOPKWH" localSheetId="4">#REF!</definedName>
    <definedName name="BIRPOPKWH">#REF!</definedName>
    <definedName name="BIRPP1EC" localSheetId="3">#REF!</definedName>
    <definedName name="BIRPP1EC" localSheetId="4">#REF!</definedName>
    <definedName name="BIRPP1EC">#REF!</definedName>
    <definedName name="BIRPP2EC" localSheetId="3">#REF!</definedName>
    <definedName name="BIRPP2EC" localSheetId="4">#REF!</definedName>
    <definedName name="BIRPP2EC">#REF!</definedName>
    <definedName name="BIRPP3EC" localSheetId="3">#REF!</definedName>
    <definedName name="BIRPP3EC" localSheetId="4">#REF!</definedName>
    <definedName name="BIRPP3EC">#REF!</definedName>
    <definedName name="BIRPP4EC" localSheetId="3">#REF!</definedName>
    <definedName name="BIRPP4EC" localSheetId="4">#REF!</definedName>
    <definedName name="BIRPP4EC">#REF!</definedName>
    <definedName name="BIRPP5EC" localSheetId="3">#REF!</definedName>
    <definedName name="BIRPP5EC" localSheetId="4">#REF!</definedName>
    <definedName name="BIRPP5EC">#REF!</definedName>
    <definedName name="BIRPPDMDCHG" localSheetId="3">#REF!</definedName>
    <definedName name="BIRPPDMDCHG" localSheetId="4">#REF!</definedName>
    <definedName name="BIRPPDMDCHG">#REF!</definedName>
    <definedName name="BIRPRCHG" localSheetId="3">#REF!</definedName>
    <definedName name="BIRPRCHG" localSheetId="4">#REF!</definedName>
    <definedName name="BIRPRCHG">#REF!</definedName>
    <definedName name="BIRPXKVA" localSheetId="3">#REF!</definedName>
    <definedName name="BIRPXKVA" localSheetId="4">#REF!</definedName>
    <definedName name="BIRPXKVA">#REF!</definedName>
    <definedName name="BIRPXKVAPCT" localSheetId="3">#REF!</definedName>
    <definedName name="BIRPXKVAPCT" localSheetId="4">#REF!</definedName>
    <definedName name="BIRPXKVAPCT">#REF!</definedName>
    <definedName name="BIRPXOFKW" localSheetId="3">#REF!</definedName>
    <definedName name="BIRPXOFKW" localSheetId="4">#REF!</definedName>
    <definedName name="BIRPXOFKW">#REF!</definedName>
    <definedName name="BKUPKWH" localSheetId="3">#REF!</definedName>
    <definedName name="BKUPKWH" localSheetId="4">#REF!</definedName>
    <definedName name="BKUPKWH">#REF!</definedName>
    <definedName name="BLDAMNT" localSheetId="3">#REF!</definedName>
    <definedName name="BLDAMNT" localSheetId="4">#REF!</definedName>
    <definedName name="BLDAMNT">#REF!</definedName>
    <definedName name="BLDDMND" localSheetId="3">#REF!</definedName>
    <definedName name="BLDDMND" localSheetId="4">#REF!</definedName>
    <definedName name="BLDDMND">#REF!</definedName>
    <definedName name="BLDKWH" localSheetId="3">#REF!</definedName>
    <definedName name="BLDKWH" localSheetId="4">#REF!</definedName>
    <definedName name="BLDKWH">#REF!</definedName>
    <definedName name="BLDOPDMND" localSheetId="3">#REF!</definedName>
    <definedName name="BLDOPDMND" localSheetId="4">#REF!</definedName>
    <definedName name="BLDOPDMND">#REF!</definedName>
    <definedName name="BLNGKWB4EDR" localSheetId="3">#REF!</definedName>
    <definedName name="BLNGKWB4EDR" localSheetId="4">#REF!</definedName>
    <definedName name="BLNGKWB4EDR">#REF!</definedName>
    <definedName name="BLNGKWH" localSheetId="3">#REF!</definedName>
    <definedName name="BLNGKWH" localSheetId="4">#REF!</definedName>
    <definedName name="BLNGKWH">#REF!</definedName>
    <definedName name="BLNGKWHTTL" localSheetId="3">#REF!</definedName>
    <definedName name="BLNGKWHTTL" localSheetId="4">#REF!</definedName>
    <definedName name="BLNGKWHTTL">#REF!</definedName>
    <definedName name="BndBlkKwh1" localSheetId="3">#REF!</definedName>
    <definedName name="BndBlkKwh1" localSheetId="4">#REF!</definedName>
    <definedName name="BndBlkKwh1">#REF!</definedName>
    <definedName name="BndBlkKwh2" localSheetId="3">#REF!</definedName>
    <definedName name="BndBlkKwh2" localSheetId="4">#REF!</definedName>
    <definedName name="BndBlkKwh2">#REF!</definedName>
    <definedName name="BndBlkKwh3" localSheetId="3">#REF!</definedName>
    <definedName name="BndBlkKwh3" localSheetId="4">#REF!</definedName>
    <definedName name="BndBlkKwh3">#REF!</definedName>
    <definedName name="BndBlkKwhChg1" localSheetId="3">#REF!</definedName>
    <definedName name="BndBlkKwhChg1" localSheetId="4">#REF!</definedName>
    <definedName name="BndBlkKwhChg1">#REF!</definedName>
    <definedName name="BndBlkKwhChg2" localSheetId="3">#REF!</definedName>
    <definedName name="BndBlkKwhChg2" localSheetId="4">#REF!</definedName>
    <definedName name="BndBlkKwhChg2">#REF!</definedName>
    <definedName name="BndBlkKwhChg3" localSheetId="3">#REF!</definedName>
    <definedName name="BndBlkKwhChg3" localSheetId="4">#REF!</definedName>
    <definedName name="BndBlkKwhChg3">#REF!</definedName>
    <definedName name="BndBlkKwhChgT" localSheetId="3">#REF!</definedName>
    <definedName name="BndBlkKwhChgT" localSheetId="4">#REF!</definedName>
    <definedName name="BndBlkKwhChgT">#REF!</definedName>
    <definedName name="BndBlkKwhChgW" localSheetId="3">#REF!</definedName>
    <definedName name="BndBlkKwhChgW" localSheetId="4">#REF!</definedName>
    <definedName name="BndBlkKwhChgW">#REF!</definedName>
    <definedName name="BndBlkKwhT" localSheetId="3">#REF!</definedName>
    <definedName name="BndBlkKwhT" localSheetId="4">#REF!</definedName>
    <definedName name="BndBlkKwhT">#REF!</definedName>
    <definedName name="BndBlkKwhW" localSheetId="3">#REF!</definedName>
    <definedName name="BndBlkKwhW" localSheetId="4">#REF!</definedName>
    <definedName name="BndBlkKwhW">#REF!</definedName>
    <definedName name="BndCustChg" localSheetId="3">#REF!</definedName>
    <definedName name="BndCustChg" localSheetId="4">#REF!</definedName>
    <definedName name="BndCustChg">#REF!</definedName>
    <definedName name="BndDmdChg1" localSheetId="3">#REF!</definedName>
    <definedName name="BndDmdChg1" localSheetId="4">#REF!</definedName>
    <definedName name="BndDmdChg1">#REF!</definedName>
    <definedName name="BndDmdChg2" localSheetId="3">#REF!</definedName>
    <definedName name="BndDmdChg2" localSheetId="4">#REF!</definedName>
    <definedName name="BndDmdChg2">#REF!</definedName>
    <definedName name="BndExcsKvaPct" localSheetId="3">#REF!</definedName>
    <definedName name="BndExcsKvaPct" localSheetId="4">#REF!</definedName>
    <definedName name="BndExcsKvaPct">#REF!</definedName>
    <definedName name="BndMEChg" localSheetId="3">#REF!</definedName>
    <definedName name="BndMEChg" localSheetId="4">#REF!</definedName>
    <definedName name="BndMEChg">#REF!</definedName>
    <definedName name="BndOffPkKwh" localSheetId="3">#REF!</definedName>
    <definedName name="BndOffPkKwh" localSheetId="4">#REF!</definedName>
    <definedName name="BndOffPkKwh">#REF!</definedName>
    <definedName name="BndOnPkKwh" localSheetId="3">#REF!</definedName>
    <definedName name="BndOnPkKwh" localSheetId="4">#REF!</definedName>
    <definedName name="BndOnPkKwh">#REF!</definedName>
    <definedName name="BndPL1Chg" localSheetId="3">#REF!</definedName>
    <definedName name="BndPL1Chg" localSheetId="4">#REF!</definedName>
    <definedName name="BndPL1Chg">#REF!</definedName>
    <definedName name="BndPL2Chg" localSheetId="3">#REF!</definedName>
    <definedName name="BndPL2Chg" localSheetId="4">#REF!</definedName>
    <definedName name="BndPL2Chg">#REF!</definedName>
    <definedName name="BndPL3Chg" localSheetId="3">#REF!</definedName>
    <definedName name="BndPL3Chg" localSheetId="4">#REF!</definedName>
    <definedName name="BndPL3Chg">#REF!</definedName>
    <definedName name="BndPL4Chg" localSheetId="3">#REF!</definedName>
    <definedName name="BndPL4Chg" localSheetId="4">#REF!</definedName>
    <definedName name="BndPL4Chg">#REF!</definedName>
    <definedName name="BndPL5Chg" localSheetId="3">#REF!</definedName>
    <definedName name="BndPL5Chg" localSheetId="4">#REF!</definedName>
    <definedName name="BndPL5Chg">#REF!</definedName>
    <definedName name="BndReactiveChg" localSheetId="3">#REF!</definedName>
    <definedName name="BndReactiveChg" localSheetId="4">#REF!</definedName>
    <definedName name="BndReactiveChg">#REF!</definedName>
    <definedName name="BndXOfpKvaChg" localSheetId="3">#REF!</definedName>
    <definedName name="BndXOfpKvaChg" localSheetId="4">#REF!</definedName>
    <definedName name="BndXOfpKvaChg">#REF!</definedName>
    <definedName name="BndXOfpKwChg" localSheetId="3">#REF!</definedName>
    <definedName name="BndXOfpKwChg" localSheetId="4">#REF!</definedName>
    <definedName name="BndXOfpKwChg">#REF!</definedName>
    <definedName name="BTTrueUp" localSheetId="3">#REF!</definedName>
    <definedName name="BTTrueUp" localSheetId="4">#REF!</definedName>
    <definedName name="BTTrueUp">#REF!</definedName>
    <definedName name="BUNCCHG" localSheetId="3">#REF!</definedName>
    <definedName name="BUNCCHG" localSheetId="4">#REF!</definedName>
    <definedName name="BUNCCHG">#REF!</definedName>
    <definedName name="BUNDCHG1" localSheetId="3">#REF!</definedName>
    <definedName name="BUNDCHG1" localSheetId="4">#REF!</definedName>
    <definedName name="BUNDCHG1">#REF!</definedName>
    <definedName name="BUNDCHG2" localSheetId="3">#REF!</definedName>
    <definedName name="BUNDCHG2" localSheetId="4">#REF!</definedName>
    <definedName name="BUNDCHG2">#REF!</definedName>
    <definedName name="BUNECHG1" localSheetId="3">#REF!</definedName>
    <definedName name="BUNECHG1" localSheetId="4">#REF!</definedName>
    <definedName name="BUNECHG1">#REF!</definedName>
    <definedName name="BUNECHGB1" localSheetId="3">#REF!</definedName>
    <definedName name="BUNECHGB1" localSheetId="4">#REF!</definedName>
    <definedName name="BUNECHGB1">#REF!</definedName>
    <definedName name="BUNECHGB2" localSheetId="3">#REF!</definedName>
    <definedName name="BUNECHGB2" localSheetId="4">#REF!</definedName>
    <definedName name="BUNECHGB2">#REF!</definedName>
    <definedName name="BUNECHGB3" localSheetId="3">#REF!</definedName>
    <definedName name="BUNECHGB3" localSheetId="4">#REF!</definedName>
    <definedName name="BUNECHGB3">#REF!</definedName>
    <definedName name="BUNECHGW" localSheetId="3">#REF!</definedName>
    <definedName name="BUNECHGW" localSheetId="4">#REF!</definedName>
    <definedName name="BUNECHGW">#REF!</definedName>
    <definedName name="BUNKWH1" localSheetId="3">#REF!</definedName>
    <definedName name="BUNKWH1" localSheetId="4">#REF!</definedName>
    <definedName name="BUNKWH1">#REF!</definedName>
    <definedName name="BUNKWHB1" localSheetId="3">#REF!</definedName>
    <definedName name="BUNKWHB1" localSheetId="4">#REF!</definedName>
    <definedName name="BUNKWHB1">#REF!</definedName>
    <definedName name="BUNKWHB2" localSheetId="3">#REF!</definedName>
    <definedName name="BUNKWHB2" localSheetId="4">#REF!</definedName>
    <definedName name="BUNKWHB2">#REF!</definedName>
    <definedName name="BUNKWHB3" localSheetId="3">#REF!</definedName>
    <definedName name="BUNKWHB3" localSheetId="4">#REF!</definedName>
    <definedName name="BUNKWHB3">#REF!</definedName>
    <definedName name="BUNKWHWH" localSheetId="3">#REF!</definedName>
    <definedName name="BUNKWHWH" localSheetId="4">#REF!</definedName>
    <definedName name="BUNKWHWH">#REF!</definedName>
    <definedName name="BUNMECHG1" localSheetId="3">#REF!</definedName>
    <definedName name="BUNMECHG1" localSheetId="4">#REF!</definedName>
    <definedName name="BUNMECHG1">#REF!</definedName>
    <definedName name="BUNOFKWH" localSheetId="3">#REF!</definedName>
    <definedName name="BUNOFKWH" localSheetId="4">#REF!</definedName>
    <definedName name="BUNOFKWH">#REF!</definedName>
    <definedName name="BUNOPKWH" localSheetId="3">#REF!</definedName>
    <definedName name="BUNOPKWH" localSheetId="4">#REF!</definedName>
    <definedName name="BUNOPKWH">#REF!</definedName>
    <definedName name="BUNP1EC" localSheetId="3">#REF!</definedName>
    <definedName name="BUNP1EC" localSheetId="4">#REF!</definedName>
    <definedName name="BUNP1EC">#REF!</definedName>
    <definedName name="BUNP2EC" localSheetId="3">#REF!</definedName>
    <definedName name="BUNP2EC" localSheetId="4">#REF!</definedName>
    <definedName name="BUNP2EC">#REF!</definedName>
    <definedName name="BUNP3EC" localSheetId="3">#REF!</definedName>
    <definedName name="BUNP3EC" localSheetId="4">#REF!</definedName>
    <definedName name="BUNP3EC">#REF!</definedName>
    <definedName name="BUNP4EC" localSheetId="3">#REF!</definedName>
    <definedName name="BUNP4EC" localSheetId="4">#REF!</definedName>
    <definedName name="BUNP4EC">#REF!</definedName>
    <definedName name="BUNP5EC" localSheetId="3">#REF!</definedName>
    <definedName name="BUNP5EC" localSheetId="4">#REF!</definedName>
    <definedName name="BUNP5EC">#REF!</definedName>
    <definedName name="BUNPDMDCHG" localSheetId="3">#REF!</definedName>
    <definedName name="BUNPDMDCHG" localSheetId="4">#REF!</definedName>
    <definedName name="BUNPDMDCHG">#REF!</definedName>
    <definedName name="BUNRCHG" localSheetId="3">#REF!</definedName>
    <definedName name="BUNRCHG" localSheetId="4">#REF!</definedName>
    <definedName name="BUNRCHG">#REF!</definedName>
    <definedName name="BUNXKVA" localSheetId="3">#REF!</definedName>
    <definedName name="BUNXKVA" localSheetId="4">#REF!</definedName>
    <definedName name="BUNXKVA">#REF!</definedName>
    <definedName name="BUNXKVAPCT" localSheetId="3">#REF!</definedName>
    <definedName name="BUNXKVAPCT" localSheetId="4">#REF!</definedName>
    <definedName name="BUNXKVAPCT">#REF!</definedName>
    <definedName name="BUNXOFKW" localSheetId="3">#REF!</definedName>
    <definedName name="BUNXOFKW" localSheetId="4">#REF!</definedName>
    <definedName name="BUNXOFKW">#REF!</definedName>
    <definedName name="CALCPFCC" localSheetId="3">#REF!</definedName>
    <definedName name="CALCPFCC" localSheetId="4">#REF!</definedName>
    <definedName name="CALCPFCC">#REF!</definedName>
    <definedName name="CAPDEFA" localSheetId="3">#REF!</definedName>
    <definedName name="CAPDEFA" localSheetId="4">#REF!</definedName>
    <definedName name="CAPDEFA">#REF!</definedName>
    <definedName name="CBLKWH" localSheetId="3">#REF!</definedName>
    <definedName name="CBLKWH" localSheetId="4">#REF!</definedName>
    <definedName name="CBLKWH">#REF!</definedName>
    <definedName name="City" localSheetId="3">#REF!</definedName>
    <definedName name="City" localSheetId="4">#REF!</definedName>
    <definedName name="City">#REF!</definedName>
    <definedName name="CNTRCTDMND" localSheetId="3">#REF!</definedName>
    <definedName name="CNTRCTDMND" localSheetId="4">#REF!</definedName>
    <definedName name="CNTRCTDMND">#REF!</definedName>
    <definedName name="CoPhoneLine" localSheetId="3">#REF!</definedName>
    <definedName name="CoPhoneLine" localSheetId="4">#REF!</definedName>
    <definedName name="CoPhoneLine">#REF!</definedName>
    <definedName name="CRMOINTRPTHRS" localSheetId="3">#REF!</definedName>
    <definedName name="CRMOINTRPTHRS" localSheetId="4">#REF!</definedName>
    <definedName name="CRMOINTRPTHRS">#REF!</definedName>
    <definedName name="CRNTMOBTKWH" localSheetId="3">#REF!</definedName>
    <definedName name="CRNTMOBTKWH" localSheetId="4">#REF!</definedName>
    <definedName name="CRNTMOBTKWH">#REF!</definedName>
    <definedName name="CRNTMOFPKHRS" localSheetId="3">#REF!</definedName>
    <definedName name="CRNTMOFPKHRS" localSheetId="4">#REF!</definedName>
    <definedName name="CRNTMOFPKHRS">#REF!</definedName>
    <definedName name="CRNTMONPKHRS" localSheetId="3">#REF!</definedName>
    <definedName name="CRNTMONPKHRS" localSheetId="4">#REF!</definedName>
    <definedName name="CRNTMONPKHRS">#REF!</definedName>
    <definedName name="CRTLBLONPKHRS" localSheetId="3">#REF!</definedName>
    <definedName name="CRTLBLONPKHRS" localSheetId="4">#REF!</definedName>
    <definedName name="CRTLBLONPKHRS">#REF!</definedName>
    <definedName name="CRTLBLONPKKWH" localSheetId="3">#REF!</definedName>
    <definedName name="CRTLBLONPKKWH" localSheetId="4">#REF!</definedName>
    <definedName name="CRTLBLONPKKWH">#REF!</definedName>
    <definedName name="CSTMRCHG" localSheetId="3">#REF!</definedName>
    <definedName name="CSTMRCHG" localSheetId="4">#REF!</definedName>
    <definedName name="CSTMRCHG">#REF!</definedName>
    <definedName name="CurMoAddr1" localSheetId="3">#REF!</definedName>
    <definedName name="CurMoAddr1" localSheetId="4">#REF!</definedName>
    <definedName name="CurMoAddr1">#REF!</definedName>
    <definedName name="CurMoAddr2" localSheetId="3">#REF!</definedName>
    <definedName name="CurMoAddr2" localSheetId="4">#REF!</definedName>
    <definedName name="CurMoAddr2">#REF!</definedName>
    <definedName name="CurMoBTDetail" localSheetId="3">#REF!</definedName>
    <definedName name="CurMoBTDetail" localSheetId="4">#REF!</definedName>
    <definedName name="CurMoBTDetail">#REF!</definedName>
    <definedName name="CurMoBuyThrgh_Sheet" localSheetId="3">#REF!</definedName>
    <definedName name="CurMoBuyThrgh_Sheet" localSheetId="4">#REF!</definedName>
    <definedName name="CurMoBuyThrgh_Sheet">#REF!</definedName>
    <definedName name="CurMoCityStZip" localSheetId="3">#REF!</definedName>
    <definedName name="CurMoCityStZip" localSheetId="4">#REF!</definedName>
    <definedName name="CurMoCityStZip">#REF!</definedName>
    <definedName name="CurMoCustName" localSheetId="3">#REF!</definedName>
    <definedName name="CurMoCustName" localSheetId="4">#REF!</definedName>
    <definedName name="CurMoCustName">#REF!</definedName>
    <definedName name="CurMoExcessAmt" localSheetId="3">#REF!</definedName>
    <definedName name="CurMoExcessAmt" localSheetId="4">#REF!</definedName>
    <definedName name="CurMoExcessAmt">#REF!</definedName>
    <definedName name="CurMoGrTaxAmt" localSheetId="3">#REF!</definedName>
    <definedName name="CurMoGrTaxAmt" localSheetId="4">#REF!</definedName>
    <definedName name="CurMoGrTaxAmt">#REF!</definedName>
    <definedName name="CurMoKWHExcess" localSheetId="3">#REF!</definedName>
    <definedName name="CurMoKWHExcess" localSheetId="4">#REF!</definedName>
    <definedName name="CurMoKWHExcess">#REF!</definedName>
    <definedName name="CurMoKWHNotUsed" localSheetId="3">#REF!</definedName>
    <definedName name="CurMoKWHNotUsed" localSheetId="4">#REF!</definedName>
    <definedName name="CurMoKWHNotUsed">#REF!</definedName>
    <definedName name="CurMoKWHRes" localSheetId="3">#REF!</definedName>
    <definedName name="CurMoKWHRes" localSheetId="4">#REF!</definedName>
    <definedName name="CurMoKWHRes">#REF!</definedName>
    <definedName name="CurMoKWHSubTot" localSheetId="3">#REF!</definedName>
    <definedName name="CurMoKWHSubTot" localSheetId="4">#REF!</definedName>
    <definedName name="CurMoKWHSubTot">#REF!</definedName>
    <definedName name="CurMoKWHTot" localSheetId="3">#REF!</definedName>
    <definedName name="CurMoKWHTot" localSheetId="4">#REF!</definedName>
    <definedName name="CurMoKWHTot">#REF!</definedName>
    <definedName name="CurMoMtrMult" localSheetId="3">#REF!</definedName>
    <definedName name="CurMoMtrMult" localSheetId="4">#REF!</definedName>
    <definedName name="CurMoMtrMult">#REF!</definedName>
    <definedName name="CurMoNotUsedAmt" localSheetId="3">#REF!</definedName>
    <definedName name="CurMoNotUsedAmt" localSheetId="4">#REF!</definedName>
    <definedName name="CurMoNotUsedAmt">#REF!</definedName>
    <definedName name="CurMoResAmt" localSheetId="3">#REF!</definedName>
    <definedName name="CurMoResAmt" localSheetId="4">#REF!</definedName>
    <definedName name="CurMoResAmt">#REF!</definedName>
    <definedName name="CurMoSubTotAmt" localSheetId="3">#REF!</definedName>
    <definedName name="CurMoSubTotAmt" localSheetId="4">#REF!</definedName>
    <definedName name="CurMoSubTotAmt">#REF!</definedName>
    <definedName name="CurMoTotAmt" localSheetId="3">#REF!</definedName>
    <definedName name="CurMoTotAmt" localSheetId="4">#REF!</definedName>
    <definedName name="CurMoTotAmt">#REF!</definedName>
    <definedName name="CurrYear" localSheetId="3">#REF!</definedName>
    <definedName name="CurrYear" localSheetId="4">#REF!</definedName>
    <definedName name="CurrYear">#REF!</definedName>
    <definedName name="CustAddr1" localSheetId="3">#REF!</definedName>
    <definedName name="CustAddr1" localSheetId="4">#REF!</definedName>
    <definedName name="CustAddr1">#REF!</definedName>
    <definedName name="CustAddr2" localSheetId="3">#REF!</definedName>
    <definedName name="CustAddr2" localSheetId="4">#REF!</definedName>
    <definedName name="CustAddr2">#REF!</definedName>
    <definedName name="CustCityStZip" localSheetId="3">#REF!</definedName>
    <definedName name="CustCityStZip" localSheetId="4">#REF!</definedName>
    <definedName name="CustCityStZip">#REF!</definedName>
    <definedName name="CustName2" localSheetId="3">#REF!</definedName>
    <definedName name="CustName2" localSheetId="4">#REF!</definedName>
    <definedName name="CustName2">#REF!</definedName>
    <definedName name="CustTable" localSheetId="3">#REF!</definedName>
    <definedName name="CustTable" localSheetId="4">#REF!</definedName>
    <definedName name="CustTable">#REF!</definedName>
    <definedName name="DetailTotCbl" localSheetId="3">#REF!</definedName>
    <definedName name="DetailTotCbl" localSheetId="4">#REF!</definedName>
    <definedName name="DetailTotCbl">#REF!</definedName>
    <definedName name="DetailTotChg" localSheetId="3">#REF!</definedName>
    <definedName name="DetailTotChg" localSheetId="4">#REF!</definedName>
    <definedName name="DetailTotChg">#REF!</definedName>
    <definedName name="DetailTotKw" localSheetId="3">#REF!</definedName>
    <definedName name="DetailTotKw" localSheetId="4">#REF!</definedName>
    <definedName name="DetailTotKw">#REF!</definedName>
    <definedName name="DetailTotMargin" localSheetId="3">#REF!</definedName>
    <definedName name="DetailTotMargin" localSheetId="4">#REF!</definedName>
    <definedName name="DetailTotMargin">#REF!</definedName>
    <definedName name="DIRPCCHG" localSheetId="3">#REF!</definedName>
    <definedName name="DIRPCCHG" localSheetId="4">#REF!</definedName>
    <definedName name="DIRPCCHG">#REF!</definedName>
    <definedName name="DIRPDCHG1" localSheetId="3">#REF!</definedName>
    <definedName name="DIRPDCHG1" localSheetId="4">#REF!</definedName>
    <definedName name="DIRPDCHG1">#REF!</definedName>
    <definedName name="DIRPDCHG2" localSheetId="3">#REF!</definedName>
    <definedName name="DIRPDCHG2" localSheetId="4">#REF!</definedName>
    <definedName name="DIRPDCHG2">#REF!</definedName>
    <definedName name="DIRPECHG1" localSheetId="3">#REF!</definedName>
    <definedName name="DIRPECHG1" localSheetId="4">#REF!</definedName>
    <definedName name="DIRPECHG1">#REF!</definedName>
    <definedName name="DIRPECHGB1" localSheetId="3">#REF!</definedName>
    <definedName name="DIRPECHGB1" localSheetId="4">#REF!</definedName>
    <definedName name="DIRPECHGB1">#REF!</definedName>
    <definedName name="DIRPECHGB2" localSheetId="3">#REF!</definedName>
    <definedName name="DIRPECHGB2" localSheetId="4">#REF!</definedName>
    <definedName name="DIRPECHGB2">#REF!</definedName>
    <definedName name="DIRPECHGB3" localSheetId="3">#REF!</definedName>
    <definedName name="DIRPECHGB3" localSheetId="4">#REF!</definedName>
    <definedName name="DIRPECHGB3">#REF!</definedName>
    <definedName name="DIRPMECHG1" localSheetId="3">#REF!</definedName>
    <definedName name="DIRPMECHG1" localSheetId="4">#REF!</definedName>
    <definedName name="DIRPMECHG1">#REF!</definedName>
    <definedName name="DIRPMINDC" localSheetId="3">#REF!</definedName>
    <definedName name="DIRPMINDC" localSheetId="4">#REF!</definedName>
    <definedName name="DIRPMINDC">#REF!</definedName>
    <definedName name="DIRPMINEC" localSheetId="3">#REF!</definedName>
    <definedName name="DIRPMINEC" localSheetId="4">#REF!</definedName>
    <definedName name="DIRPMINEC">#REF!</definedName>
    <definedName name="DIRPOFKVA" localSheetId="3">#REF!</definedName>
    <definedName name="DIRPOFKVA" localSheetId="4">#REF!</definedName>
    <definedName name="DIRPOFKVA">#REF!</definedName>
    <definedName name="DIRPOFKW" localSheetId="3">#REF!</definedName>
    <definedName name="DIRPOFKW" localSheetId="4">#REF!</definedName>
    <definedName name="DIRPOFKW">#REF!</definedName>
    <definedName name="DIRPOFKWH" localSheetId="3">#REF!</definedName>
    <definedName name="DIRPOFKWH" localSheetId="4">#REF!</definedName>
    <definedName name="DIRPOFKWH">#REF!</definedName>
    <definedName name="DIRPOPKWH" localSheetId="3">#REF!</definedName>
    <definedName name="DIRPOPKWH" localSheetId="4">#REF!</definedName>
    <definedName name="DIRPOPKWH">#REF!</definedName>
    <definedName name="DIRPP1EC" localSheetId="3">#REF!</definedName>
    <definedName name="DIRPP1EC" localSheetId="4">#REF!</definedName>
    <definedName name="DIRPP1EC">#REF!</definedName>
    <definedName name="DIRPP2EC" localSheetId="3">#REF!</definedName>
    <definedName name="DIRPP2EC" localSheetId="4">#REF!</definedName>
    <definedName name="DIRPP2EC">#REF!</definedName>
    <definedName name="DIRPP3EC" localSheetId="3">#REF!</definedName>
    <definedName name="DIRPP3EC" localSheetId="4">#REF!</definedName>
    <definedName name="DIRPP3EC">#REF!</definedName>
    <definedName name="DIRPP4EC" localSheetId="3">#REF!</definedName>
    <definedName name="DIRPP4EC" localSheetId="4">#REF!</definedName>
    <definedName name="DIRPP4EC">#REF!</definedName>
    <definedName name="DIRPP5EC" localSheetId="3">#REF!</definedName>
    <definedName name="DIRPP5EC" localSheetId="4">#REF!</definedName>
    <definedName name="DIRPP5EC">#REF!</definedName>
    <definedName name="DIRPRCHG" localSheetId="3">#REF!</definedName>
    <definedName name="DIRPRCHG" localSheetId="4">#REF!</definedName>
    <definedName name="DIRPRCHG">#REF!</definedName>
    <definedName name="DisBlkKwhChg1" localSheetId="3">#REF!</definedName>
    <definedName name="DisBlkKwhChg1" localSheetId="4">#REF!</definedName>
    <definedName name="DisBlkKwhChg1">#REF!</definedName>
    <definedName name="DisBlkKwhChg2" localSheetId="3">#REF!</definedName>
    <definedName name="DisBlkKwhChg2" localSheetId="4">#REF!</definedName>
    <definedName name="DisBlkKwhChg2">#REF!</definedName>
    <definedName name="DisBlkKwhChg3" localSheetId="3">#REF!</definedName>
    <definedName name="DisBlkKwhChg3" localSheetId="4">#REF!</definedName>
    <definedName name="DisBlkKwhChg3">#REF!</definedName>
    <definedName name="DisBlkKwhChgT" localSheetId="3">#REF!</definedName>
    <definedName name="DisBlkKwhChgT" localSheetId="4">#REF!</definedName>
    <definedName name="DisBlkKwhChgT">#REF!</definedName>
    <definedName name="DisCustChg" localSheetId="3">#REF!</definedName>
    <definedName name="DisCustChg" localSheetId="4">#REF!</definedName>
    <definedName name="DisCustChg">#REF!</definedName>
    <definedName name="DisDmdChg1" localSheetId="3">#REF!</definedName>
    <definedName name="DisDmdChg1" localSheetId="4">#REF!</definedName>
    <definedName name="DisDmdChg1">#REF!</definedName>
    <definedName name="DisDmdChg2" localSheetId="3">#REF!</definedName>
    <definedName name="DisDmdChg2" localSheetId="4">#REF!</definedName>
    <definedName name="DisDmdChg2">#REF!</definedName>
    <definedName name="DisMEChg" localSheetId="3">#REF!</definedName>
    <definedName name="DisMEChg" localSheetId="4">#REF!</definedName>
    <definedName name="DisMEChg">#REF!</definedName>
    <definedName name="DisMinDChg" localSheetId="3">#REF!</definedName>
    <definedName name="DisMinDChg" localSheetId="4">#REF!</definedName>
    <definedName name="DisMinDChg">#REF!</definedName>
    <definedName name="DisMinEChg" localSheetId="3">#REF!</definedName>
    <definedName name="DisMinEChg" localSheetId="4">#REF!</definedName>
    <definedName name="DisMinEChg">#REF!</definedName>
    <definedName name="DisOffPkKwh" localSheetId="3">#REF!</definedName>
    <definedName name="DisOffPkKwh" localSheetId="4">#REF!</definedName>
    <definedName name="DisOffPkKwh">#REF!</definedName>
    <definedName name="DisOnPkKwh" localSheetId="3">#REF!</definedName>
    <definedName name="DisOnPkKwh" localSheetId="4">#REF!</definedName>
    <definedName name="DisOnPkKwh">#REF!</definedName>
    <definedName name="DisPL1Chg" localSheetId="3">#REF!</definedName>
    <definedName name="DisPL1Chg" localSheetId="4">#REF!</definedName>
    <definedName name="DisPL1Chg">#REF!</definedName>
    <definedName name="DisPL2Chg" localSheetId="3">#REF!</definedName>
    <definedName name="DisPL2Chg" localSheetId="4">#REF!</definedName>
    <definedName name="DisPL2Chg">#REF!</definedName>
    <definedName name="DisPL3Chg" localSheetId="3">#REF!</definedName>
    <definedName name="DisPL3Chg" localSheetId="4">#REF!</definedName>
    <definedName name="DisPL3Chg">#REF!</definedName>
    <definedName name="DisPL4Chg" localSheetId="3">#REF!</definedName>
    <definedName name="DisPL4Chg" localSheetId="4">#REF!</definedName>
    <definedName name="DisPL4Chg">#REF!</definedName>
    <definedName name="DisPL5Chg" localSheetId="3">#REF!</definedName>
    <definedName name="DisPL5Chg" localSheetId="4">#REF!</definedName>
    <definedName name="DisPL5Chg">#REF!</definedName>
    <definedName name="DisReactiveChg" localSheetId="3">#REF!</definedName>
    <definedName name="DisReactiveChg" localSheetId="4">#REF!</definedName>
    <definedName name="DisReactiveChg">#REF!</definedName>
    <definedName name="DisXOfpKvaChg" localSheetId="3">#REF!</definedName>
    <definedName name="DisXOfpKvaChg" localSheetId="4">#REF!</definedName>
    <definedName name="DisXOfpKvaChg">#REF!</definedName>
    <definedName name="DisXOfpKwChg" localSheetId="3">#REF!</definedName>
    <definedName name="DisXOfpKwChg" localSheetId="4">#REF!</definedName>
    <definedName name="DisXOfpKwChg">#REF!</definedName>
    <definedName name="DSTCCHG" localSheetId="3">#REF!</definedName>
    <definedName name="DSTCCHG" localSheetId="4">#REF!</definedName>
    <definedName name="DSTCCHG">#REF!</definedName>
    <definedName name="DSTDCHG1" localSheetId="3">#REF!</definedName>
    <definedName name="DSTDCHG1" localSheetId="4">#REF!</definedName>
    <definedName name="DSTDCHG1">#REF!</definedName>
    <definedName name="DSTDCHG2" localSheetId="3">#REF!</definedName>
    <definedName name="DSTDCHG2" localSheetId="4">#REF!</definedName>
    <definedName name="DSTDCHG2">#REF!</definedName>
    <definedName name="DSTECHG1" localSheetId="3">#REF!</definedName>
    <definedName name="DSTECHG1" localSheetId="4">#REF!</definedName>
    <definedName name="DSTECHG1">#REF!</definedName>
    <definedName name="DSTECHGB1" localSheetId="3">#REF!</definedName>
    <definedName name="DSTECHGB1" localSheetId="4">#REF!</definedName>
    <definedName name="DSTECHGB1">#REF!</definedName>
    <definedName name="DSTECHGB2" localSheetId="3">#REF!</definedName>
    <definedName name="DSTECHGB2" localSheetId="4">#REF!</definedName>
    <definedName name="DSTECHGB2">#REF!</definedName>
    <definedName name="DSTECHGB3" localSheetId="3">#REF!</definedName>
    <definedName name="DSTECHGB3" localSheetId="4">#REF!</definedName>
    <definedName name="DSTECHGB3">#REF!</definedName>
    <definedName name="DSTMECHG1" localSheetId="3">#REF!</definedName>
    <definedName name="DSTMECHG1" localSheetId="4">#REF!</definedName>
    <definedName name="DSTMECHG1">#REF!</definedName>
    <definedName name="DSTMINDC" localSheetId="3">#REF!</definedName>
    <definedName name="DSTMINDC" localSheetId="4">#REF!</definedName>
    <definedName name="DSTMINDC">#REF!</definedName>
    <definedName name="DSTMINEC" localSheetId="3">#REF!</definedName>
    <definedName name="DSTMINEC" localSheetId="4">#REF!</definedName>
    <definedName name="DSTMINEC">#REF!</definedName>
    <definedName name="DSTOFKWH" localSheetId="3">#REF!</definedName>
    <definedName name="DSTOFKWH" localSheetId="4">#REF!</definedName>
    <definedName name="DSTOFKWH">#REF!</definedName>
    <definedName name="DSTOPKWH" localSheetId="3">#REF!</definedName>
    <definedName name="DSTOPKWH" localSheetId="4">#REF!</definedName>
    <definedName name="DSTOPKWH">#REF!</definedName>
    <definedName name="DSTP1EC" localSheetId="3">#REF!</definedName>
    <definedName name="DSTP1EC" localSheetId="4">#REF!</definedName>
    <definedName name="DSTP1EC">#REF!</definedName>
    <definedName name="DSTP2EC" localSheetId="3">#REF!</definedName>
    <definedName name="DSTP2EC" localSheetId="4">#REF!</definedName>
    <definedName name="DSTP2EC">#REF!</definedName>
    <definedName name="DSTP3EC" localSheetId="3">#REF!</definedName>
    <definedName name="DSTP3EC" localSheetId="4">#REF!</definedName>
    <definedName name="DSTP3EC">#REF!</definedName>
    <definedName name="DSTP4EC" localSheetId="3">#REF!</definedName>
    <definedName name="DSTP4EC" localSheetId="4">#REF!</definedName>
    <definedName name="DSTP4EC">#REF!</definedName>
    <definedName name="DSTP5EC" localSheetId="3">#REF!</definedName>
    <definedName name="DSTP5EC" localSheetId="4">#REF!</definedName>
    <definedName name="DSTP5EC">#REF!</definedName>
    <definedName name="DSTRCHG" localSheetId="3">#REF!</definedName>
    <definedName name="DSTRCHG" localSheetId="4">#REF!</definedName>
    <definedName name="DSTRCHG">#REF!</definedName>
    <definedName name="DSTXOFKVA" localSheetId="3">#REF!</definedName>
    <definedName name="DSTXOFKVA" localSheetId="4">#REF!</definedName>
    <definedName name="DSTXOFKVA">#REF!</definedName>
    <definedName name="DSTXOFKW" localSheetId="3">#REF!</definedName>
    <definedName name="DSTXOFKW" localSheetId="4">#REF!</definedName>
    <definedName name="DSTXOFKW">#REF!</definedName>
    <definedName name="EDRBASE" localSheetId="3">#REF!</definedName>
    <definedName name="EDRBASE" localSheetId="4">#REF!</definedName>
    <definedName name="EDRBASE">#REF!</definedName>
    <definedName name="EDRDATE" localSheetId="3">#REF!</definedName>
    <definedName name="EDRDATE" localSheetId="4">#REF!</definedName>
    <definedName name="EDRDATE">#REF!</definedName>
    <definedName name="EDRDSCNT" localSheetId="3">#REF!</definedName>
    <definedName name="EDRDSCNT" localSheetId="4">#REF!</definedName>
    <definedName name="EDRDSCNT">#REF!</definedName>
    <definedName name="EDRLVLPCT" localSheetId="3">#REF!</definedName>
    <definedName name="EDRLVLPCT" localSheetId="4">#REF!</definedName>
    <definedName name="EDRLVLPCT">#REF!</definedName>
    <definedName name="EDRTYPE" localSheetId="3">#REF!</definedName>
    <definedName name="EDRTYPE" localSheetId="4">#REF!</definedName>
    <definedName name="EDRTYPE">#REF!</definedName>
    <definedName name="EffDate" localSheetId="3">#REF!</definedName>
    <definedName name="EffDate" localSheetId="4">#REF!</definedName>
    <definedName name="EffDate">#REF!</definedName>
    <definedName name="ELKMCGN1" localSheetId="3">#REF!</definedName>
    <definedName name="ELKMCGN1" localSheetId="4">#REF!</definedName>
    <definedName name="ELKMCGN1">#REF!</definedName>
    <definedName name="ELKMCGN2" localSheetId="3">#REF!</definedName>
    <definedName name="ELKMCGN2" localSheetId="4">#REF!</definedName>
    <definedName name="ELKMCGN2">#REF!</definedName>
    <definedName name="ENDDTM" localSheetId="3">#REF!</definedName>
    <definedName name="ENDDTM" localSheetId="4">#REF!</definedName>
    <definedName name="ENDDTM">#REF!</definedName>
    <definedName name="ENDTIME" localSheetId="3">#REF!</definedName>
    <definedName name="ENDTIME" localSheetId="4">#REF!</definedName>
    <definedName name="ENDTIME">#REF!</definedName>
    <definedName name="EstExcessAmt" localSheetId="3">#REF!</definedName>
    <definedName name="EstExcessAmt" localSheetId="4">#REF!</definedName>
    <definedName name="EstExcessAmt">#REF!</definedName>
    <definedName name="EstGrTaxAmt" localSheetId="3">#REF!</definedName>
    <definedName name="EstGrTaxAmt" localSheetId="4">#REF!</definedName>
    <definedName name="EstGrTaxAmt">#REF!</definedName>
    <definedName name="EstKWHExcess" localSheetId="3">#REF!</definedName>
    <definedName name="EstKWHExcess" localSheetId="4">#REF!</definedName>
    <definedName name="EstKWHExcess">#REF!</definedName>
    <definedName name="EstKWHNotUsed" localSheetId="3">#REF!</definedName>
    <definedName name="EstKWHNotUsed" localSheetId="4">#REF!</definedName>
    <definedName name="EstKWHNotUsed">#REF!</definedName>
    <definedName name="EstKWHRes" localSheetId="3">#REF!</definedName>
    <definedName name="EstKWHRes" localSheetId="4">#REF!</definedName>
    <definedName name="EstKWHRes">#REF!</definedName>
    <definedName name="EstKWHSubTot" localSheetId="3">#REF!</definedName>
    <definedName name="EstKWHSubTot" localSheetId="4">#REF!</definedName>
    <definedName name="EstKWHSubTot">#REF!</definedName>
    <definedName name="EstKWHTot" localSheetId="3">#REF!</definedName>
    <definedName name="EstKWHTot" localSheetId="4">#REF!</definedName>
    <definedName name="EstKWHTot">#REF!</definedName>
    <definedName name="EstNotUsedAmt" localSheetId="3">#REF!</definedName>
    <definedName name="EstNotUsedAmt" localSheetId="4">#REF!</definedName>
    <definedName name="EstNotUsedAmt">#REF!</definedName>
    <definedName name="EstResAmt" localSheetId="3">#REF!</definedName>
    <definedName name="EstResAmt" localSheetId="4">#REF!</definedName>
    <definedName name="EstResAmt">#REF!</definedName>
    <definedName name="EstSubTotAmt" localSheetId="3">#REF!</definedName>
    <definedName name="EstSubTotAmt" localSheetId="4">#REF!</definedName>
    <definedName name="EstSubTotAmt">#REF!</definedName>
    <definedName name="EstTotAmt" localSheetId="3">#REF!</definedName>
    <definedName name="EstTotAmt" localSheetId="4">#REF!</definedName>
    <definedName name="EstTotAmt">#REF!</definedName>
    <definedName name="EXCSKVACHG" localSheetId="3">#REF!</definedName>
    <definedName name="EXCSKVACHG" localSheetId="4">#REF!</definedName>
    <definedName name="EXCSKVACHG">#REF!</definedName>
    <definedName name="EXCSKVADMND" localSheetId="3">#REF!</definedName>
    <definedName name="EXCSKVADMND" localSheetId="4">#REF!</definedName>
    <definedName name="EXCSKVADMND">#REF!</definedName>
    <definedName name="EXCSKVAR" localSheetId="3">#REF!</definedName>
    <definedName name="EXCSKVAR" localSheetId="4">#REF!</definedName>
    <definedName name="EXCSKVAR">#REF!</definedName>
    <definedName name="FIRMKWH" localSheetId="3">#REF!</definedName>
    <definedName name="FIRMKWH" localSheetId="4">#REF!</definedName>
    <definedName name="FIRMKWH">#REF!</definedName>
    <definedName name="FIRSTDAY" localSheetId="3">#REF!</definedName>
    <definedName name="FIRSTDAY" localSheetId="4">#REF!</definedName>
    <definedName name="FIRSTDAY">#REF!</definedName>
    <definedName name="FRMCPCT" localSheetId="3">#REF!</definedName>
    <definedName name="FRMCPCT" localSheetId="4">#REF!</definedName>
    <definedName name="FRMCPCT">#REF!</definedName>
    <definedName name="FUELCHG" localSheetId="3">#REF!</definedName>
    <definedName name="FUELCHG" localSheetId="4">#REF!</definedName>
    <definedName name="FUELCHG">#REF!</definedName>
    <definedName name="FUELRATE" localSheetId="3">#REF!</definedName>
    <definedName name="FUELRATE" localSheetId="4">#REF!</definedName>
    <definedName name="FUELRATE">#REF!</definedName>
    <definedName name="GenBlkKwhChg1" localSheetId="3">#REF!</definedName>
    <definedName name="GenBlkKwhChg1" localSheetId="4">#REF!</definedName>
    <definedName name="GenBlkKwhChg1">#REF!</definedName>
    <definedName name="GenBlkKwhChg2" localSheetId="3">#REF!</definedName>
    <definedName name="GenBlkKwhChg2" localSheetId="4">#REF!</definedName>
    <definedName name="GenBlkKwhChg2">#REF!</definedName>
    <definedName name="GenBlkKwhChg3" localSheetId="3">#REF!</definedName>
    <definedName name="GenBlkKwhChg3" localSheetId="4">#REF!</definedName>
    <definedName name="GenBlkKwhChg3">#REF!</definedName>
    <definedName name="GenBlkKwhChgT" localSheetId="3">#REF!</definedName>
    <definedName name="GenBlkKwhChgT" localSheetId="4">#REF!</definedName>
    <definedName name="GenBlkKwhChgT">#REF!</definedName>
    <definedName name="GENCCHG" localSheetId="3">#REF!</definedName>
    <definedName name="GENCCHG" localSheetId="4">#REF!</definedName>
    <definedName name="GENCCHG">#REF!</definedName>
    <definedName name="GenCustChg" localSheetId="3">#REF!</definedName>
    <definedName name="GenCustChg" localSheetId="4">#REF!</definedName>
    <definedName name="GenCustChg">#REF!</definedName>
    <definedName name="GENDCHG1" localSheetId="3">#REF!</definedName>
    <definedName name="GENDCHG1" localSheetId="4">#REF!</definedName>
    <definedName name="GENDCHG1">#REF!</definedName>
    <definedName name="GENDCHG2" localSheetId="3">#REF!</definedName>
    <definedName name="GENDCHG2" localSheetId="4">#REF!</definedName>
    <definedName name="GENDCHG2">#REF!</definedName>
    <definedName name="GenDmdChg1" localSheetId="3">#REF!</definedName>
    <definedName name="GenDmdChg1" localSheetId="4">#REF!</definedName>
    <definedName name="GenDmdChg1">#REF!</definedName>
    <definedName name="GenDmdChg2" localSheetId="3">#REF!</definedName>
    <definedName name="GenDmdChg2" localSheetId="4">#REF!</definedName>
    <definedName name="GenDmdChg2">#REF!</definedName>
    <definedName name="GENECHG1" localSheetId="3">#REF!</definedName>
    <definedName name="GENECHG1" localSheetId="4">#REF!</definedName>
    <definedName name="GENECHG1">#REF!</definedName>
    <definedName name="GENECHGB1" localSheetId="3">#REF!</definedName>
    <definedName name="GENECHGB1" localSheetId="4">#REF!</definedName>
    <definedName name="GENECHGB1">#REF!</definedName>
    <definedName name="GENECHGB2" localSheetId="3">#REF!</definedName>
    <definedName name="GENECHGB2" localSheetId="4">#REF!</definedName>
    <definedName name="GENECHGB2">#REF!</definedName>
    <definedName name="GENECHGB3" localSheetId="3">#REF!</definedName>
    <definedName name="GENECHGB3" localSheetId="4">#REF!</definedName>
    <definedName name="GENECHGB3">#REF!</definedName>
    <definedName name="GenMEChg" localSheetId="3">#REF!</definedName>
    <definedName name="GenMEChg" localSheetId="4">#REF!</definedName>
    <definedName name="GenMEChg">#REF!</definedName>
    <definedName name="GENMECHG1" localSheetId="3">#REF!</definedName>
    <definedName name="GENMECHG1" localSheetId="4">#REF!</definedName>
    <definedName name="GENMECHG1">#REF!</definedName>
    <definedName name="GENMINDC" localSheetId="3">#REF!</definedName>
    <definedName name="GENMINDC" localSheetId="4">#REF!</definedName>
    <definedName name="GENMINDC">#REF!</definedName>
    <definedName name="GenMinDChg" localSheetId="3">#REF!</definedName>
    <definedName name="GenMinDChg" localSheetId="4">#REF!</definedName>
    <definedName name="GenMinDChg">#REF!</definedName>
    <definedName name="GENMINEC" localSheetId="3">#REF!</definedName>
    <definedName name="GENMINEC" localSheetId="4">#REF!</definedName>
    <definedName name="GENMINEC">#REF!</definedName>
    <definedName name="GenMinEChg" localSheetId="3">#REF!</definedName>
    <definedName name="GenMinEChg" localSheetId="4">#REF!</definedName>
    <definedName name="GenMinEChg">#REF!</definedName>
    <definedName name="GenOffPkKwh" localSheetId="3">#REF!</definedName>
    <definedName name="GenOffPkKwh" localSheetId="4">#REF!</definedName>
    <definedName name="GenOffPkKwh">#REF!</definedName>
    <definedName name="GENOFKWH" localSheetId="3">#REF!</definedName>
    <definedName name="GENOFKWH" localSheetId="4">#REF!</definedName>
    <definedName name="GENOFKWH">#REF!</definedName>
    <definedName name="GenOnPkKwh" localSheetId="3">#REF!</definedName>
    <definedName name="GenOnPkKwh" localSheetId="4">#REF!</definedName>
    <definedName name="GenOnPkKwh">#REF!</definedName>
    <definedName name="GENOPKWH" localSheetId="3">#REF!</definedName>
    <definedName name="GENOPKWH" localSheetId="4">#REF!</definedName>
    <definedName name="GENOPKWH">#REF!</definedName>
    <definedName name="GENP1EC" localSheetId="3">#REF!</definedName>
    <definedName name="GENP1EC" localSheetId="4">#REF!</definedName>
    <definedName name="GENP1EC">#REF!</definedName>
    <definedName name="GENP2EC" localSheetId="3">#REF!</definedName>
    <definedName name="GENP2EC" localSheetId="4">#REF!</definedName>
    <definedName name="GENP2EC">#REF!</definedName>
    <definedName name="GENP3EC" localSheetId="3">#REF!</definedName>
    <definedName name="GENP3EC" localSheetId="4">#REF!</definedName>
    <definedName name="GENP3EC">#REF!</definedName>
    <definedName name="GENP4EC" localSheetId="3">#REF!</definedName>
    <definedName name="GENP4EC" localSheetId="4">#REF!</definedName>
    <definedName name="GENP4EC">#REF!</definedName>
    <definedName name="GENP5EC" localSheetId="3">#REF!</definedName>
    <definedName name="GENP5EC" localSheetId="4">#REF!</definedName>
    <definedName name="GENP5EC">#REF!</definedName>
    <definedName name="GenPL1Chg" localSheetId="3">#REF!</definedName>
    <definedName name="GenPL1Chg" localSheetId="4">#REF!</definedName>
    <definedName name="GenPL1Chg">#REF!</definedName>
    <definedName name="GenPL2Chg" localSheetId="3">#REF!</definedName>
    <definedName name="GenPL2Chg" localSheetId="4">#REF!</definedName>
    <definedName name="GenPL2Chg">#REF!</definedName>
    <definedName name="GenPL3Chg" localSheetId="3">#REF!</definedName>
    <definedName name="GenPL3Chg" localSheetId="4">#REF!</definedName>
    <definedName name="GenPL3Chg">#REF!</definedName>
    <definedName name="GenPL4Chg" localSheetId="3">#REF!</definedName>
    <definedName name="GenPL4Chg" localSheetId="4">#REF!</definedName>
    <definedName name="GenPL4Chg">#REF!</definedName>
    <definedName name="GenPL5Chg" localSheetId="3">#REF!</definedName>
    <definedName name="GenPL5Chg" localSheetId="4">#REF!</definedName>
    <definedName name="GenPL5Chg">#REF!</definedName>
    <definedName name="GENRCHG" localSheetId="3">#REF!</definedName>
    <definedName name="GENRCHG" localSheetId="4">#REF!</definedName>
    <definedName name="GENRCHG">#REF!</definedName>
    <definedName name="GenReactiveChg" localSheetId="3">#REF!</definedName>
    <definedName name="GenReactiveChg" localSheetId="4">#REF!</definedName>
    <definedName name="GenReactiveChg">#REF!</definedName>
    <definedName name="GENXOFKVA" localSheetId="3">#REF!</definedName>
    <definedName name="GENXOFKVA" localSheetId="4">#REF!</definedName>
    <definedName name="GENXOFKVA">#REF!</definedName>
    <definedName name="GENXOFKW" localSheetId="3">#REF!</definedName>
    <definedName name="GENXOFKW" localSheetId="4">#REF!</definedName>
    <definedName name="GENXOFKW">#REF!</definedName>
    <definedName name="GenXOfpKvaChg" localSheetId="3">#REF!</definedName>
    <definedName name="GenXOfpKvaChg" localSheetId="4">#REF!</definedName>
    <definedName name="GenXOfpKvaChg">#REF!</definedName>
    <definedName name="GenXOfpKwChg" localSheetId="3">#REF!</definedName>
    <definedName name="GenXOfpKwChg" localSheetId="4">#REF!</definedName>
    <definedName name="GenXOfpKwChg">#REF!</definedName>
    <definedName name="GIRPCCHG" localSheetId="3">#REF!</definedName>
    <definedName name="GIRPCCHG" localSheetId="4">#REF!</definedName>
    <definedName name="GIRPCCHG">#REF!</definedName>
    <definedName name="GIRPDCHG1" localSheetId="3">#REF!</definedName>
    <definedName name="GIRPDCHG1" localSheetId="4">#REF!</definedName>
    <definedName name="GIRPDCHG1">#REF!</definedName>
    <definedName name="GIRPDCHG2" localSheetId="3">#REF!</definedName>
    <definedName name="GIRPDCHG2" localSheetId="4">#REF!</definedName>
    <definedName name="GIRPDCHG2">#REF!</definedName>
    <definedName name="GIRPECHG1" localSheetId="3">#REF!</definedName>
    <definedName name="GIRPECHG1" localSheetId="4">#REF!</definedName>
    <definedName name="GIRPECHG1">#REF!</definedName>
    <definedName name="GIRPECHGB1" localSheetId="3">#REF!</definedName>
    <definedName name="GIRPECHGB1" localSheetId="4">#REF!</definedName>
    <definedName name="GIRPECHGB1">#REF!</definedName>
    <definedName name="GIRPECHGB2" localSheetId="3">#REF!</definedName>
    <definedName name="GIRPECHGB2" localSheetId="4">#REF!</definedName>
    <definedName name="GIRPECHGB2">#REF!</definedName>
    <definedName name="GIRPECHGB3" localSheetId="3">#REF!</definedName>
    <definedName name="GIRPECHGB3" localSheetId="4">#REF!</definedName>
    <definedName name="GIRPECHGB3">#REF!</definedName>
    <definedName name="GIRPMECHG1" localSheetId="3">#REF!</definedName>
    <definedName name="GIRPMECHG1" localSheetId="4">#REF!</definedName>
    <definedName name="GIRPMECHG1">#REF!</definedName>
    <definedName name="GIRPMINDC" localSheetId="3">#REF!</definedName>
    <definedName name="GIRPMINDC" localSheetId="4">#REF!</definedName>
    <definedName name="GIRPMINDC">#REF!</definedName>
    <definedName name="GIRPMINEC" localSheetId="3">#REF!</definedName>
    <definedName name="GIRPMINEC" localSheetId="4">#REF!</definedName>
    <definedName name="GIRPMINEC">#REF!</definedName>
    <definedName name="GIRPOFKVA" localSheetId="3">#REF!</definedName>
    <definedName name="GIRPOFKVA" localSheetId="4">#REF!</definedName>
    <definedName name="GIRPOFKVA">#REF!</definedName>
    <definedName name="GIRPOFKW" localSheetId="3">#REF!</definedName>
    <definedName name="GIRPOFKW" localSheetId="4">#REF!</definedName>
    <definedName name="GIRPOFKW">#REF!</definedName>
    <definedName name="GIRPOFKWH" localSheetId="3">#REF!</definedName>
    <definedName name="GIRPOFKWH" localSheetId="4">#REF!</definedName>
    <definedName name="GIRPOFKWH">#REF!</definedName>
    <definedName name="GIRPOPKWH" localSheetId="3">#REF!</definedName>
    <definedName name="GIRPOPKWH" localSheetId="4">#REF!</definedName>
    <definedName name="GIRPOPKWH">#REF!</definedName>
    <definedName name="GIRPP1EC" localSheetId="3">#REF!</definedName>
    <definedName name="GIRPP1EC" localSheetId="4">#REF!</definedName>
    <definedName name="GIRPP1EC">#REF!</definedName>
    <definedName name="GIRPP2EC" localSheetId="3">#REF!</definedName>
    <definedName name="GIRPP2EC" localSheetId="4">#REF!</definedName>
    <definedName name="GIRPP2EC">#REF!</definedName>
    <definedName name="GIRPP3EC" localSheetId="3">#REF!</definedName>
    <definedName name="GIRPP3EC" localSheetId="4">#REF!</definedName>
    <definedName name="GIRPP3EC">#REF!</definedName>
    <definedName name="GIRPP4EC" localSheetId="3">#REF!</definedName>
    <definedName name="GIRPP4EC" localSheetId="4">#REF!</definedName>
    <definedName name="GIRPP4EC">#REF!</definedName>
    <definedName name="GIRPP5EC" localSheetId="3">#REF!</definedName>
    <definedName name="GIRPP5EC" localSheetId="4">#REF!</definedName>
    <definedName name="GIRPP5EC">#REF!</definedName>
    <definedName name="GIRPRCHG" localSheetId="3">#REF!</definedName>
    <definedName name="GIRPRCHG" localSheetId="4">#REF!</definedName>
    <definedName name="GIRPRCHG">#REF!</definedName>
    <definedName name="HEADA">#REF!</definedName>
    <definedName name="HEADB">#REF!</definedName>
    <definedName name="HEADC">#REF!</definedName>
    <definedName name="HEADD">#REF!</definedName>
    <definedName name="HIPREKW" localSheetId="3">#REF!</definedName>
    <definedName name="HIPREKW" localSheetId="4">#REF!</definedName>
    <definedName name="HIPREKW">#REF!</definedName>
    <definedName name="HRCRDKW" localSheetId="3">#REF!</definedName>
    <definedName name="HRCRDKW" localSheetId="4">#REF!</definedName>
    <definedName name="HRCRDKW">#REF!</definedName>
    <definedName name="HRCRDKWDT" localSheetId="3">#REF!</definedName>
    <definedName name="HRCRDKWDT" localSheetId="4">#REF!</definedName>
    <definedName name="HRCRDKWDT">#REF!</definedName>
    <definedName name="HRCRDKWTM" localSheetId="3">#REF!</definedName>
    <definedName name="HRCRDKWTM" localSheetId="4">#REF!</definedName>
    <definedName name="HRCRDKWTM">#REF!</definedName>
    <definedName name="HROFPKDT" localSheetId="3">#REF!</definedName>
    <definedName name="HROFPKDT" localSheetId="4">#REF!</definedName>
    <definedName name="HROFPKDT">#REF!</definedName>
    <definedName name="HROFPKKW" localSheetId="3">#REF!</definedName>
    <definedName name="HROFPKKW" localSheetId="4">#REF!</definedName>
    <definedName name="HROFPKKW">#REF!</definedName>
    <definedName name="HROFPKTM" localSheetId="3">#REF!</definedName>
    <definedName name="HROFPKTM" localSheetId="4">#REF!</definedName>
    <definedName name="HROFPKTM">#REF!</definedName>
    <definedName name="HRONPKDT" localSheetId="3">#REF!</definedName>
    <definedName name="HRONPKDT" localSheetId="4">#REF!</definedName>
    <definedName name="HRONPKDT">#REF!</definedName>
    <definedName name="HRONPKKW" localSheetId="3">#REF!</definedName>
    <definedName name="HRONPKKW" localSheetId="4">#REF!</definedName>
    <definedName name="HRONPKKW">#REF!</definedName>
    <definedName name="HRONPKTM" localSheetId="3">#REF!</definedName>
    <definedName name="HRONPKTM" localSheetId="4">#REF!</definedName>
    <definedName name="HRONPKTM">#REF!</definedName>
    <definedName name="IMCO" localSheetId="3">#REF!</definedName>
    <definedName name="IMCO" localSheetId="4">#REF!</definedName>
    <definedName name="IMCO">#REF!</definedName>
    <definedName name="InterruptCapacity" localSheetId="3">#REF!</definedName>
    <definedName name="InterruptCapacity" localSheetId="4">#REF!</definedName>
    <definedName name="InterruptCapacity">#REF!</definedName>
    <definedName name="InterruptOfpCapacity" localSheetId="3">#REF!</definedName>
    <definedName name="InterruptOfpCapacity" localSheetId="4">#REF!</definedName>
    <definedName name="InterruptOfpCapacity">#REF!</definedName>
    <definedName name="InterruptType" localSheetId="3">#REF!</definedName>
    <definedName name="InterruptType" localSheetId="4">#REF!</definedName>
    <definedName name="InterruptType">#REF!</definedName>
    <definedName name="INTRPBLCAP" localSheetId="3">#REF!</definedName>
    <definedName name="INTRPBLCAP" localSheetId="4">#REF!</definedName>
    <definedName name="INTRPBLCAP">#REF!</definedName>
    <definedName name="Invdetails" localSheetId="3">#REF!</definedName>
    <definedName name="Invdetails" localSheetId="4">#REF!</definedName>
    <definedName name="Invdetails">#REF!</definedName>
    <definedName name="KWCHG" localSheetId="3">#REF!</definedName>
    <definedName name="KWCHG" localSheetId="4">#REF!</definedName>
    <definedName name="KWCHG">#REF!</definedName>
    <definedName name="KWH1NOCMM" localSheetId="3">#REF!</definedName>
    <definedName name="KWH1NOCMM" localSheetId="4">#REF!</definedName>
    <definedName name="KWH1NOCMM">#REF!</definedName>
    <definedName name="KWH3NOCMM" localSheetId="3">#REF!</definedName>
    <definedName name="KWH3NOCMM" localSheetId="4">#REF!</definedName>
    <definedName name="KWH3NOCMM">#REF!</definedName>
    <definedName name="KWHCHG" localSheetId="3">#REF!</definedName>
    <definedName name="KWHCHG" localSheetId="4">#REF!</definedName>
    <definedName name="KWHCHG">#REF!</definedName>
    <definedName name="LASTDAY" localSheetId="3">#REF!</definedName>
    <definedName name="LASTDAY" localSheetId="4">#REF!</definedName>
    <definedName name="LASTDAY">#REF!</definedName>
    <definedName name="LASTFUEL" localSheetId="3">#REF!</definedName>
    <definedName name="LASTFUEL" localSheetId="4">#REF!</definedName>
    <definedName name="LASTFUEL">#REF!</definedName>
    <definedName name="LASTMSRR" localSheetId="3">#REF!</definedName>
    <definedName name="LASTMSRR" localSheetId="4">#REF!</definedName>
    <definedName name="LASTMSRR">#REF!</definedName>
    <definedName name="LASTPFCC" localSheetId="3">#REF!</definedName>
    <definedName name="LASTPFCC" localSheetId="4">#REF!</definedName>
    <definedName name="LASTPFCC">#REF!</definedName>
    <definedName name="LDFCTR" localSheetId="3">#REF!</definedName>
    <definedName name="LDFCTR" localSheetId="4">#REF!</definedName>
    <definedName name="LDFCTR">#REF!</definedName>
    <definedName name="LoadDiv">#REF!</definedName>
    <definedName name="LRCREDIT" localSheetId="3">#REF!</definedName>
    <definedName name="LRCREDIT" localSheetId="4">#REF!</definedName>
    <definedName name="LRCREDIT">#REF!</definedName>
    <definedName name="MACC1" localSheetId="3">#REF!</definedName>
    <definedName name="MACC1" localSheetId="4">#REF!</definedName>
    <definedName name="MACC1">#REF!</definedName>
    <definedName name="MACC2" localSheetId="3">#REF!</definedName>
    <definedName name="MACC2" localSheetId="4">#REF!</definedName>
    <definedName name="MACC2">#REF!</definedName>
    <definedName name="MAINTHRSCRMO" localSheetId="3">#REF!</definedName>
    <definedName name="MAINTHRSCRMO" localSheetId="4">#REF!</definedName>
    <definedName name="MAINTHRSCRMO">#REF!</definedName>
    <definedName name="MAINTKWH" localSheetId="3">#REF!</definedName>
    <definedName name="MAINTKWH" localSheetId="4">#REF!</definedName>
    <definedName name="MAINTKWH">#REF!</definedName>
    <definedName name="MinBillDem" localSheetId="3">#REF!</definedName>
    <definedName name="MinBillDem" localSheetId="4">#REF!</definedName>
    <definedName name="MinBillDem">#REF!</definedName>
    <definedName name="MinBillDem2" localSheetId="3">#REF!</definedName>
    <definedName name="MinBillDem2" localSheetId="4">#REF!</definedName>
    <definedName name="MinBillDem2">#REF!</definedName>
    <definedName name="MinBillDmd" localSheetId="3">#REF!</definedName>
    <definedName name="MinBillDmd" localSheetId="4">#REF!</definedName>
    <definedName name="MinBillDmd">#REF!</definedName>
    <definedName name="MSRRBLD" localSheetId="3">#REF!</definedName>
    <definedName name="MSRRBLD" localSheetId="4">#REF!</definedName>
    <definedName name="MSRRBLD">#REF!</definedName>
    <definedName name="MSRRCHG" localSheetId="3">#REF!</definedName>
    <definedName name="MSRRCHG" localSheetId="4">#REF!</definedName>
    <definedName name="MSRRCHG">#REF!</definedName>
    <definedName name="MTRMLTPLR1" localSheetId="3">#REF!</definedName>
    <definedName name="MTRMLTPLR1" localSheetId="4">#REF!</definedName>
    <definedName name="MTRMLTPLR1">#REF!</definedName>
    <definedName name="MTRMLTPLR2" localSheetId="3">#REF!</definedName>
    <definedName name="MTRMLTPLR2" localSheetId="4">#REF!</definedName>
    <definedName name="MTRMLTPLR2">#REF!</definedName>
    <definedName name="NETMRGCHG" localSheetId="3">#REF!</definedName>
    <definedName name="NETMRGCHG" localSheetId="4">#REF!</definedName>
    <definedName name="NETMRGCHG">#REF!</definedName>
    <definedName name="NODAYSINPRD" localSheetId="3">#REF!</definedName>
    <definedName name="NODAYSINPRD" localSheetId="4">#REF!</definedName>
    <definedName name="NODAYSINPRD">#REF!</definedName>
    <definedName name="NODELPOINTS" localSheetId="3">#REF!</definedName>
    <definedName name="NODELPOINTS" localSheetId="4">#REF!</definedName>
    <definedName name="NODELPOINTS">#REF!</definedName>
    <definedName name="NP_h">#REF!</definedName>
    <definedName name="NP_h1" localSheetId="3">#REF!</definedName>
    <definedName name="NP_h1" localSheetId="4">#REF!</definedName>
    <definedName name="NP_h1">#REF!</definedName>
    <definedName name="NPh">#REF!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3">#REF!</definedName>
    <definedName name="OFPCBLKW" localSheetId="4">#REF!</definedName>
    <definedName name="OFPCBLKW">#REF!</definedName>
    <definedName name="OFPKBILLKWH" localSheetId="3">#REF!</definedName>
    <definedName name="OFPKBILLKWH" localSheetId="4">#REF!</definedName>
    <definedName name="OFPKBILLKWH">#REF!</definedName>
    <definedName name="OFPKCGNKWH" localSheetId="3">#REF!</definedName>
    <definedName name="OFPKCGNKWH" localSheetId="4">#REF!</definedName>
    <definedName name="OFPKCGNKWH">#REF!</definedName>
    <definedName name="OFPKCNTRCTCPCT" localSheetId="3">#REF!</definedName>
    <definedName name="OFPKCNTRCTCPCT" localSheetId="4">#REF!</definedName>
    <definedName name="OFPKCNTRCTCPCT">#REF!</definedName>
    <definedName name="OFPKDMPKWH" localSheetId="3">#REF!</definedName>
    <definedName name="OFPKDMPKWH" localSheetId="4">#REF!</definedName>
    <definedName name="OFPKDMPKWH">#REF!</definedName>
    <definedName name="OFPKDSCRKWH" localSheetId="3">#REF!</definedName>
    <definedName name="OFPKDSCRKWH" localSheetId="4">#REF!</definedName>
    <definedName name="OFPKDSCRKWH">#REF!</definedName>
    <definedName name="OFPKDT" localSheetId="3">#REF!</definedName>
    <definedName name="OFPKDT" localSheetId="4">#REF!</definedName>
    <definedName name="OFPKDT">#REF!</definedName>
    <definedName name="OFPKEXCSKW" localSheetId="3">#REF!</definedName>
    <definedName name="OFPKEXCSKW" localSheetId="4">#REF!</definedName>
    <definedName name="OFPKEXCSKW">#REF!</definedName>
    <definedName name="OFPKINCRKWH" localSheetId="3">#REF!</definedName>
    <definedName name="OFPKINCRKWH" localSheetId="4">#REF!</definedName>
    <definedName name="OFPKINCRKWH">#REF!</definedName>
    <definedName name="OFPKKVADT" localSheetId="3">#REF!</definedName>
    <definedName name="OFPKKVADT" localSheetId="4">#REF!</definedName>
    <definedName name="OFPKKVADT">#REF!</definedName>
    <definedName name="OFPKKVATM" localSheetId="3">#REF!</definedName>
    <definedName name="OFPKKVATM" localSheetId="4">#REF!</definedName>
    <definedName name="OFPKKVATM">#REF!</definedName>
    <definedName name="OFPKKVW" localSheetId="3">#REF!</definedName>
    <definedName name="OFPKKVW" localSheetId="4">#REF!</definedName>
    <definedName name="OFPKKVW">#REF!</definedName>
    <definedName name="OFPKKW" localSheetId="3">#REF!</definedName>
    <definedName name="OFPKKW" localSheetId="4">#REF!</definedName>
    <definedName name="OFPKKW">#REF!</definedName>
    <definedName name="OFPKKWH1NOCMM" localSheetId="3">#REF!</definedName>
    <definedName name="OFPKKWH1NOCMM" localSheetId="4">#REF!</definedName>
    <definedName name="OFPKKWH1NOCMM">#REF!</definedName>
    <definedName name="OFPKKWH3NOCMM" localSheetId="3">#REF!</definedName>
    <definedName name="OFPKKWH3NOCMM" localSheetId="4">#REF!</definedName>
    <definedName name="OFPKKWH3NOCMM">#REF!</definedName>
    <definedName name="OFPKRCRDKWH" localSheetId="3">#REF!</definedName>
    <definedName name="OFPKRCRDKWH" localSheetId="4">#REF!</definedName>
    <definedName name="OFPKRCRDKWH">#REF!</definedName>
    <definedName name="OFPKTM" localSheetId="3">#REF!</definedName>
    <definedName name="OFPKTM" localSheetId="4">#REF!</definedName>
    <definedName name="OFPKTM">#REF!</definedName>
    <definedName name="OFPXCSKW" localSheetId="3">#REF!</definedName>
    <definedName name="OFPXCSKW" localSheetId="4">#REF!</definedName>
    <definedName name="OFPXCSKW">#REF!</definedName>
    <definedName name="OFPXCSKWDT" localSheetId="3">#REF!</definedName>
    <definedName name="OFPXCSKWDT" localSheetId="4">#REF!</definedName>
    <definedName name="OFPXCSKWDT">#REF!</definedName>
    <definedName name="OFPXCSKWH" localSheetId="3">#REF!</definedName>
    <definedName name="OFPXCSKWH" localSheetId="4">#REF!</definedName>
    <definedName name="OFPXCSKWH">#REF!</definedName>
    <definedName name="OFPXCSKWTM" localSheetId="3">#REF!</definedName>
    <definedName name="OFPXCSKWTM" localSheetId="4">#REF!</definedName>
    <definedName name="OFPXCSKWTM">#REF!</definedName>
    <definedName name="ONPKBILLKWH" localSheetId="3">#REF!</definedName>
    <definedName name="ONPKBILLKWH" localSheetId="4">#REF!</definedName>
    <definedName name="ONPKBILLKWH">#REF!</definedName>
    <definedName name="ONPKCAPB" localSheetId="3">#REF!</definedName>
    <definedName name="ONPKCAPB" localSheetId="4">#REF!</definedName>
    <definedName name="ONPKCAPB">#REF!</definedName>
    <definedName name="ONPKCGNKWH" localSheetId="3">#REF!</definedName>
    <definedName name="ONPKCGNKWH" localSheetId="4">#REF!</definedName>
    <definedName name="ONPKCGNKWH">#REF!</definedName>
    <definedName name="ONPKCNTRCTCPCT" localSheetId="3">#REF!</definedName>
    <definedName name="ONPKCNTRCTCPCT" localSheetId="4">#REF!</definedName>
    <definedName name="ONPKCNTRCTCPCT">#REF!</definedName>
    <definedName name="ONPKDMPKWH" localSheetId="3">#REF!</definedName>
    <definedName name="ONPKDMPKWH" localSheetId="4">#REF!</definedName>
    <definedName name="ONPKDMPKWH">#REF!</definedName>
    <definedName name="ONPKDSCRKWH" localSheetId="3">#REF!</definedName>
    <definedName name="ONPKDSCRKWH" localSheetId="4">#REF!</definedName>
    <definedName name="ONPKDSCRKWH">#REF!</definedName>
    <definedName name="ONPKDT" localSheetId="3">#REF!</definedName>
    <definedName name="ONPKDT" localSheetId="4">#REF!</definedName>
    <definedName name="ONPKDT">#REF!</definedName>
    <definedName name="ONPKINCRKWH" localSheetId="3">#REF!</definedName>
    <definedName name="ONPKINCRKWH" localSheetId="4">#REF!</definedName>
    <definedName name="ONPKINCRKWH">#REF!</definedName>
    <definedName name="ONPKKVA" localSheetId="3">#REF!</definedName>
    <definedName name="ONPKKVA" localSheetId="4">#REF!</definedName>
    <definedName name="ONPKKVA">#REF!</definedName>
    <definedName name="ONPKKVADT" localSheetId="3">#REF!</definedName>
    <definedName name="ONPKKVADT" localSheetId="4">#REF!</definedName>
    <definedName name="ONPKKVADT">#REF!</definedName>
    <definedName name="ONPKKVATM" localSheetId="3">#REF!</definedName>
    <definedName name="ONPKKVATM" localSheetId="4">#REF!</definedName>
    <definedName name="ONPKKVATM">#REF!</definedName>
    <definedName name="ONPKKW" localSheetId="3">#REF!</definedName>
    <definedName name="ONPKKW" localSheetId="4">#REF!</definedName>
    <definedName name="ONPKKW">#REF!</definedName>
    <definedName name="ONPKKWH1NOCMM" localSheetId="3">#REF!</definedName>
    <definedName name="ONPKKWH1NOCMM" localSheetId="4">#REF!</definedName>
    <definedName name="ONPKKWH1NOCMM">#REF!</definedName>
    <definedName name="ONPKKWH3NOCMM" localSheetId="3">#REF!</definedName>
    <definedName name="ONPKKWH3NOCMM" localSheetId="4">#REF!</definedName>
    <definedName name="ONPKKWH3NOCMM">#REF!</definedName>
    <definedName name="ONPKRCRDKWH" localSheetId="3">#REF!</definedName>
    <definedName name="ONPKRCRDKWH" localSheetId="4">#REF!</definedName>
    <definedName name="ONPKRCRDKWH">#REF!</definedName>
    <definedName name="ONPKTM" localSheetId="3">#REF!</definedName>
    <definedName name="ONPKTM" localSheetId="4">#REF!</definedName>
    <definedName name="ONPKTM">#REF!</definedName>
    <definedName name="OPCBLKW" localSheetId="3">#REF!</definedName>
    <definedName name="OPCBLKW" localSheetId="4">#REF!</definedName>
    <definedName name="OPCBLKW">#REF!</definedName>
    <definedName name="OPCO" localSheetId="3">#REF!</definedName>
    <definedName name="OPCO" localSheetId="4">#REF!</definedName>
    <definedName name="OPCO">#REF!</definedName>
    <definedName name="OPXCSKW" localSheetId="3">#REF!</definedName>
    <definedName name="OPXCSKW" localSheetId="4">#REF!</definedName>
    <definedName name="OPXCSKW">#REF!</definedName>
    <definedName name="OPXCSKWDT" localSheetId="3">#REF!</definedName>
    <definedName name="OPXCSKWDT" localSheetId="4">#REF!</definedName>
    <definedName name="OPXCSKWDT">#REF!</definedName>
    <definedName name="OPXCSKWH" localSheetId="3">#REF!</definedName>
    <definedName name="OPXCSKWH" localSheetId="4">#REF!</definedName>
    <definedName name="OPXCSKWH">#REF!</definedName>
    <definedName name="OPXCSKWTM" localSheetId="3">#REF!</definedName>
    <definedName name="OPXCSKWTM" localSheetId="4">#REF!</definedName>
    <definedName name="OPXCSKWTM">#REF!</definedName>
    <definedName name="OTHRTRNSKWH" localSheetId="3">#REF!</definedName>
    <definedName name="OTHRTRNSKWH" localSheetId="4">#REF!</definedName>
    <definedName name="OTHRTRNSKWH">#REF!</definedName>
    <definedName name="P1PENPERC" localSheetId="3">#REF!</definedName>
    <definedName name="P1PENPERC" localSheetId="4">#REF!</definedName>
    <definedName name="P1PENPERC">#REF!</definedName>
    <definedName name="P2PENPERC" localSheetId="3">#REF!</definedName>
    <definedName name="P2PENPERC" localSheetId="4">#REF!</definedName>
    <definedName name="P2PENPERC">#REF!</definedName>
    <definedName name="PAGEA">#REF!</definedName>
    <definedName name="PAGEB">#REF!</definedName>
    <definedName name="PAGEC">#REF!</definedName>
    <definedName name="PAGED">#REF!</definedName>
    <definedName name="PeakDemandChg" localSheetId="3">#REF!</definedName>
    <definedName name="PeakDemandChg" localSheetId="4">#REF!</definedName>
    <definedName name="PeakDemandChg">#REF!</definedName>
    <definedName name="PenaltyDays" localSheetId="3">#REF!</definedName>
    <definedName name="PenaltyDays" localSheetId="4">#REF!</definedName>
    <definedName name="PenaltyDays">#REF!</definedName>
    <definedName name="PenaltyPct" localSheetId="3">#REF!</definedName>
    <definedName name="PenaltyPct" localSheetId="4">#REF!</definedName>
    <definedName name="PenaltyPct">#REF!</definedName>
    <definedName name="PENDAYS" localSheetId="3">#REF!</definedName>
    <definedName name="PENDAYS" localSheetId="4">#REF!</definedName>
    <definedName name="PENDAYS">#REF!</definedName>
    <definedName name="PENDAYS2" localSheetId="3">#REF!</definedName>
    <definedName name="PENDAYS2" localSheetId="4">#REF!</definedName>
    <definedName name="PENDAYS2">#REF!</definedName>
    <definedName name="PFCC" localSheetId="3">#REF!</definedName>
    <definedName name="PFCC" localSheetId="4">#REF!</definedName>
    <definedName name="PFCC">#REF!</definedName>
    <definedName name="PKKVAR" localSheetId="3">#REF!</definedName>
    <definedName name="PKKVAR" localSheetId="4">#REF!</definedName>
    <definedName name="PKKVAR">#REF!</definedName>
    <definedName name="PKKVARDATE" localSheetId="3">#REF!</definedName>
    <definedName name="PKKVARDATE" localSheetId="4">#REF!</definedName>
    <definedName name="PKKVARDATE">#REF!</definedName>
    <definedName name="PKKVARTIME" localSheetId="3">#REF!</definedName>
    <definedName name="PKKVARTIME" localSheetId="4">#REF!</definedName>
    <definedName name="PKKVARTIME">#REF!</definedName>
    <definedName name="PLVLKWH1" localSheetId="3">#REF!</definedName>
    <definedName name="PLVLKWH1" localSheetId="4">#REF!</definedName>
    <definedName name="PLVLKWH1">#REF!</definedName>
    <definedName name="PLVLKWH1A" localSheetId="3">#REF!</definedName>
    <definedName name="PLVLKWH1A" localSheetId="4">#REF!</definedName>
    <definedName name="PLVLKWH1A">#REF!</definedName>
    <definedName name="PLVLKWH2" localSheetId="3">#REF!</definedName>
    <definedName name="PLVLKWH2" localSheetId="4">#REF!</definedName>
    <definedName name="PLVLKWH2">#REF!</definedName>
    <definedName name="PLVLKWH23A" localSheetId="3">#REF!</definedName>
    <definedName name="PLVLKWH23A" localSheetId="4">#REF!</definedName>
    <definedName name="PLVLKWH23A">#REF!</definedName>
    <definedName name="PLVLKWH25" localSheetId="3">#REF!</definedName>
    <definedName name="PLVLKWH25" localSheetId="4">#REF!</definedName>
    <definedName name="PLVLKWH25">#REF!</definedName>
    <definedName name="PLVLKWH2A" localSheetId="3">#REF!</definedName>
    <definedName name="PLVLKWH2A" localSheetId="4">#REF!</definedName>
    <definedName name="PLVLKWH2A">#REF!</definedName>
    <definedName name="PLVLKWH3" localSheetId="3">#REF!</definedName>
    <definedName name="PLVLKWH3" localSheetId="4">#REF!</definedName>
    <definedName name="PLVLKWH3">#REF!</definedName>
    <definedName name="PLVLKWH3A" localSheetId="3">#REF!</definedName>
    <definedName name="PLVLKWH3A" localSheetId="4">#REF!</definedName>
    <definedName name="PLVLKWH3A">#REF!</definedName>
    <definedName name="PLVLKWH4" localSheetId="3">#REF!</definedName>
    <definedName name="PLVLKWH4" localSheetId="4">#REF!</definedName>
    <definedName name="PLVLKWH4">#REF!</definedName>
    <definedName name="PLVLKWH4A" localSheetId="3">#REF!</definedName>
    <definedName name="PLVLKWH4A" localSheetId="4">#REF!</definedName>
    <definedName name="PLVLKWH4A">#REF!</definedName>
    <definedName name="PRICEDESIG" localSheetId="3">#REF!</definedName>
    <definedName name="PRICEDESIG" localSheetId="4">#REF!</definedName>
    <definedName name="PRICEDESIG">#REF!</definedName>
    <definedName name="PriMoAddr1" localSheetId="3">#REF!</definedName>
    <definedName name="PriMoAddr1" localSheetId="4">#REF!</definedName>
    <definedName name="PriMoAddr1">#REF!</definedName>
    <definedName name="PriMoAddr2" localSheetId="3">#REF!</definedName>
    <definedName name="PriMoAddr2" localSheetId="4">#REF!</definedName>
    <definedName name="PriMoAddr2">#REF!</definedName>
    <definedName name="PriMoBTDetail" localSheetId="3">#REF!</definedName>
    <definedName name="PriMoBTDetail" localSheetId="4">#REF!</definedName>
    <definedName name="PriMoBTDetail">#REF!</definedName>
    <definedName name="PriMoBuyThrgh_Sheet" localSheetId="3">#REF!</definedName>
    <definedName name="PriMoBuyThrgh_Sheet" localSheetId="4">#REF!</definedName>
    <definedName name="PriMoBuyThrgh_Sheet">#REF!</definedName>
    <definedName name="PriMoCityStZip" localSheetId="3">#REF!</definedName>
    <definedName name="PriMoCityStZip" localSheetId="4">#REF!</definedName>
    <definedName name="PriMoCityStZip">#REF!</definedName>
    <definedName name="PriMoCustName" localSheetId="3">#REF!</definedName>
    <definedName name="PriMoCustName" localSheetId="4">#REF!</definedName>
    <definedName name="PriMoCustName">#REF!</definedName>
    <definedName name="PriMoMtrMult" localSheetId="3">#REF!</definedName>
    <definedName name="PriMoMtrMult" localSheetId="4">#REF!</definedName>
    <definedName name="PriMoMtrMult">#REF!</definedName>
    <definedName name="_xlnm.Print_Area" localSheetId="0">'NITS Including True Up'!$A$1:$M$41</definedName>
    <definedName name="_xlnm.Print_Area" localSheetId="3">'PSO Sch 11 Rates'!$A$1:$T$49</definedName>
    <definedName name="_xlnm.Print_Area" localSheetId="6">'PSO TCOS'!$A$1:$L$314</definedName>
    <definedName name="_xlnm.Print_Area" localSheetId="7">'PSO WS A RB Support '!$A$1:$G$112</definedName>
    <definedName name="_xlnm.Print_Area" localSheetId="9">'PSO WS C ADIT &amp; ADITC'!$A$1:$J$75</definedName>
    <definedName name="_xlnm.Print_Area" localSheetId="10">'PSO WS C-1 ADIT EOY'!$A$1:$N$165</definedName>
    <definedName name="_xlnm.Print_Area" localSheetId="11">'PSO WS C-2 ADIT BOY'!$A$1:$N$163</definedName>
    <definedName name="_xlnm.Print_Area" localSheetId="12">'PSO WS C-3 ADIT Proration'!$A$1:$I$61</definedName>
    <definedName name="_xlnm.Print_Area" localSheetId="13">'PSO WS D Working Capital'!$A$1:$L$107</definedName>
    <definedName name="_xlnm.Print_Area" localSheetId="14">'PSO WS E IPP Credits'!$A$1:$E$26</definedName>
    <definedName name="_xlnm.Print_Area" localSheetId="15">'PSO WS F BPU ATRR'!$A$1:$O$166</definedName>
    <definedName name="_xlnm.Print_Area" localSheetId="16">'PSO WS G BPU ATRR'!$A$1:$P$168</definedName>
    <definedName name="_xlnm.Print_Area" localSheetId="17">'PSO WS H Rev Credits'!$A$1:$N$55</definedName>
    <definedName name="_xlnm.Print_Area" localSheetId="18">'PSO WS I Exp Adj'!$A$1:$H$26</definedName>
    <definedName name="_xlnm.Print_Area" localSheetId="19">'PSO WS J Misc Exp'!$A$1:$G$52</definedName>
    <definedName name="_xlnm.Print_Area" localSheetId="20">'PSO WS K State Taxes'!$A$1:$L$52</definedName>
    <definedName name="_xlnm.Print_Area" localSheetId="21">'PSO WS L Other Taxes'!$A$1:$N$58</definedName>
    <definedName name="_xlnm.Print_Area" localSheetId="22">'PSO WS M Avg Cap Structure'!$A$1:$F$70</definedName>
    <definedName name="_xlnm.Print_Area" localSheetId="2">'Sch 1 Rates'!$A$1:$L$35</definedName>
    <definedName name="_xlnm.Print_Area" localSheetId="4">'SWE Sch 11 Rates'!$A$1:$T$95</definedName>
    <definedName name="_xlnm.Print_Area" localSheetId="23">'SWEPCO TCOS'!$A$1:$L$314</definedName>
    <definedName name="_xlnm.Print_Area" localSheetId="24">'SWEPCO WS A RB Support '!$A$1:$G$112</definedName>
    <definedName name="_xlnm.Print_Area" localSheetId="26">'SWEPCO WS C ADIT &amp; ADITC'!$A$1:$J$75</definedName>
    <definedName name="_xlnm.Print_Area" localSheetId="27">'SWEPCO WS C-1 ADIT EOY'!$A$1:$N$198</definedName>
    <definedName name="_xlnm.Print_Area" localSheetId="28">'SWEPCO WS C-2 ADIT BOY'!$A$1:$N$196</definedName>
    <definedName name="_xlnm.Print_Area" localSheetId="29">'SWEPCO WS C-3 ADIT Proration'!$A$1:$I$61</definedName>
    <definedName name="_xlnm.Print_Area" localSheetId="30">'SWEPCO WS D Working Capital'!$A$1:$L$113</definedName>
    <definedName name="_xlnm.Print_Area" localSheetId="31">'SWEPCO WS E IPP Credits'!$A$1:$E$26</definedName>
    <definedName name="_xlnm.Print_Area" localSheetId="32">'SWEPCO WS F BPU ATRR'!$A$1:$O$166</definedName>
    <definedName name="_xlnm.Print_Area" localSheetId="33">'SWEPCO WS G BPU ATRR'!$A$1:$P$168</definedName>
    <definedName name="_xlnm.Print_Area" localSheetId="34">'SWEPCO WS H Rev Credits'!$A$1:$N$55</definedName>
    <definedName name="_xlnm.Print_Area" localSheetId="35">'SWEPCO WS I Exp Adj'!$A$1:$H$26</definedName>
    <definedName name="_xlnm.Print_Area" localSheetId="36">'SWEPCO WS J Misc Exp'!$A$1:$G$52</definedName>
    <definedName name="_xlnm.Print_Area" localSheetId="37">'SWEPCO WS K State Taxes'!$A$1:$L$52</definedName>
    <definedName name="_xlnm.Print_Area" localSheetId="38">'SWEPCO WS L Other Taxes'!$A$1:$N$58</definedName>
    <definedName name="_xlnm.Print_Area" localSheetId="39">'SWEPCO WS M Avg Cap Structure'!$A$1:$F$70</definedName>
    <definedName name="_xlnm.Print_Area" localSheetId="1">'Zonal Rates'!$A$1:$M$37</definedName>
    <definedName name="_xlnm.Print_Area">#REF!</definedName>
    <definedName name="_xlnm.Print_Titles" localSheetId="7">'PSO WS A RB Support '!$1:$9</definedName>
    <definedName name="_xlnm.Print_Titles" localSheetId="10">'PSO WS C-1 ADIT EOY'!$2:$8</definedName>
    <definedName name="_xlnm.Print_Titles" localSheetId="11">'PSO WS C-2 ADIT BOY'!$2:$8</definedName>
    <definedName name="_xlnm.Print_Titles" localSheetId="13">'PSO WS D Working Capital'!$1:$7</definedName>
    <definedName name="_xlnm.Print_Titles" localSheetId="21">'PSO WS L Other Taxes'!$1:$5</definedName>
    <definedName name="_xlnm.Print_Titles" localSheetId="4">'SWE Sch 11 Rates'!$1:$17</definedName>
    <definedName name="_xlnm.Print_Titles" localSheetId="24">'SWEPCO WS A RB Support '!$1:$9</definedName>
    <definedName name="_xlnm.Print_Titles" localSheetId="27">'SWEPCO WS C-1 ADIT EOY'!$2:$8</definedName>
    <definedName name="_xlnm.Print_Titles" localSheetId="28">'SWEPCO WS C-2 ADIT BOY'!$2:$8</definedName>
    <definedName name="_xlnm.Print_Titles" localSheetId="30">'SWEPCO WS D Working Capital'!$1:$7</definedName>
    <definedName name="_xlnm.Print_Titles" localSheetId="38">'SWEPCO WS L Other Taxes'!$1:$5</definedName>
    <definedName name="PRVCNT" localSheetId="3">#REF!</definedName>
    <definedName name="PRVCNT" localSheetId="4">#REF!</definedName>
    <definedName name="PRVCNT">#REF!</definedName>
    <definedName name="PRVDATE" localSheetId="3">#REF!</definedName>
    <definedName name="PRVDATE" localSheetId="4">#REF!</definedName>
    <definedName name="PRVDATE">#REF!</definedName>
    <definedName name="PRVFUEL" localSheetId="3">#REF!</definedName>
    <definedName name="PRVFUEL" localSheetId="4">#REF!</definedName>
    <definedName name="PRVFUEL">#REF!</definedName>
    <definedName name="PRVKW" localSheetId="3">#REF!</definedName>
    <definedName name="PRVKW" localSheetId="4">#REF!</definedName>
    <definedName name="PRVKW">#REF!</definedName>
    <definedName name="PRVKWH" localSheetId="3">#REF!</definedName>
    <definedName name="PRVKWH" localSheetId="4">#REF!</definedName>
    <definedName name="PRVKWH">#REF!</definedName>
    <definedName name="PRVMSRR" localSheetId="3">#REF!</definedName>
    <definedName name="PRVMSRR" localSheetId="4">#REF!</definedName>
    <definedName name="PRVMSRR">#REF!</definedName>
    <definedName name="PRVPFCC" localSheetId="3">#REF!</definedName>
    <definedName name="PRVPFCC" localSheetId="4">#REF!</definedName>
    <definedName name="PRVPFCC">#REF!</definedName>
    <definedName name="PSO_Hist_Allocators">#REF!</definedName>
    <definedName name="PSO_Proj_Allocators">#REF!</definedName>
    <definedName name="PSO_TU_Allocators">'[2]SWEPCO TCOS'!$I$334:$J$342</definedName>
    <definedName name="PSOallocatorsP" localSheetId="3">#REF!</definedName>
    <definedName name="PSOallocatorsP" localSheetId="4">#REF!</definedName>
    <definedName name="PSOallocatorsP">#REF!</definedName>
    <definedName name="PVHIOFPCBL" localSheetId="3">#REF!</definedName>
    <definedName name="PVHIOFPCBL" localSheetId="4">#REF!</definedName>
    <definedName name="PVHIOFPCBL">#REF!</definedName>
    <definedName name="PVHIOPCBL" localSheetId="3">#REF!</definedName>
    <definedName name="PVHIOPCBL" localSheetId="4">#REF!</definedName>
    <definedName name="PVHIOPCBL">#REF!</definedName>
    <definedName name="RatchetFactor" localSheetId="3">#REF!</definedName>
    <definedName name="RatchetFactor" localSheetId="4">#REF!</definedName>
    <definedName name="RatchetFactor">#REF!</definedName>
    <definedName name="RCRDRID" localSheetId="3">#REF!</definedName>
    <definedName name="RCRDRID" localSheetId="4">#REF!</definedName>
    <definedName name="RCRDRID">#REF!</definedName>
    <definedName name="RCTVHRS" localSheetId="3">#REF!</definedName>
    <definedName name="RCTVHRS" localSheetId="4">#REF!</definedName>
    <definedName name="RCTVHRS">#REF!</definedName>
    <definedName name="RDRBLK1C" localSheetId="3">#REF!</definedName>
    <definedName name="RDRBLK1C" localSheetId="4">#REF!</definedName>
    <definedName name="RDRBLK1C">#REF!</definedName>
    <definedName name="RDRBLK1Q" localSheetId="3">#REF!</definedName>
    <definedName name="RDRBLK1Q" localSheetId="4">#REF!</definedName>
    <definedName name="RDRBLK1Q">#REF!</definedName>
    <definedName name="RDRBLK2C" localSheetId="3">#REF!</definedName>
    <definedName name="RDRBLK2C" localSheetId="4">#REF!</definedName>
    <definedName name="RDRBLK2C">#REF!</definedName>
    <definedName name="RDRBLK2Q" localSheetId="3">#REF!</definedName>
    <definedName name="RDRBLK2Q" localSheetId="4">#REF!</definedName>
    <definedName name="RDRBLK2Q">#REF!</definedName>
    <definedName name="RDRBLK3C" localSheetId="3">#REF!</definedName>
    <definedName name="RDRBLK3C" localSheetId="4">#REF!</definedName>
    <definedName name="RDRBLK3C">#REF!</definedName>
    <definedName name="RDRBLK3Q" localSheetId="3">#REF!</definedName>
    <definedName name="RDRBLK3Q" localSheetId="4">#REF!</definedName>
    <definedName name="RDRBLK3Q">#REF!</definedName>
    <definedName name="RDRBLKTC" localSheetId="3">#REF!</definedName>
    <definedName name="RDRBLKTC" localSheetId="4">#REF!</definedName>
    <definedName name="RDRBLKTC">#REF!</definedName>
    <definedName name="RDRBLKTC1" localSheetId="3">#REF!</definedName>
    <definedName name="RDRBLKTC1" localSheetId="4">#REF!</definedName>
    <definedName name="RDRBLKTC1">#REF!</definedName>
    <definedName name="RDRBLKTC10" localSheetId="3">#REF!</definedName>
    <definedName name="RDRBLKTC10" localSheetId="4">#REF!</definedName>
    <definedName name="RDRBLKTC10">#REF!</definedName>
    <definedName name="RDRBLKTC11" localSheetId="3">#REF!</definedName>
    <definedName name="RDRBLKTC11" localSheetId="4">#REF!</definedName>
    <definedName name="RDRBLKTC11">#REF!</definedName>
    <definedName name="RDRBLKTC12" localSheetId="3">#REF!</definedName>
    <definedName name="RDRBLKTC12" localSheetId="4">#REF!</definedName>
    <definedName name="RDRBLKTC12">#REF!</definedName>
    <definedName name="RDRBLKTC13" localSheetId="3">#REF!</definedName>
    <definedName name="RDRBLKTC13" localSheetId="4">#REF!</definedName>
    <definedName name="RDRBLKTC13">#REF!</definedName>
    <definedName name="RDRBLKTC14" localSheetId="3">#REF!</definedName>
    <definedName name="RDRBLKTC14" localSheetId="4">#REF!</definedName>
    <definedName name="RDRBLKTC14">#REF!</definedName>
    <definedName name="RDRBLKTC15" localSheetId="3">#REF!</definedName>
    <definedName name="RDRBLKTC15" localSheetId="4">#REF!</definedName>
    <definedName name="RDRBLKTC15">#REF!</definedName>
    <definedName name="RDRBLKTC16" localSheetId="3">#REF!</definedName>
    <definedName name="RDRBLKTC16" localSheetId="4">#REF!</definedName>
    <definedName name="RDRBLKTC16">#REF!</definedName>
    <definedName name="RDRBLKTC17" localSheetId="3">#REF!</definedName>
    <definedName name="RDRBLKTC17" localSheetId="4">#REF!</definedName>
    <definedName name="RDRBLKTC17">#REF!</definedName>
    <definedName name="RDRBLKTC18" localSheetId="3">#REF!</definedName>
    <definedName name="RDRBLKTC18" localSheetId="4">#REF!</definedName>
    <definedName name="RDRBLKTC18">#REF!</definedName>
    <definedName name="RDRBLKTC19" localSheetId="3">#REF!</definedName>
    <definedName name="RDRBLKTC19" localSheetId="4">#REF!</definedName>
    <definedName name="RDRBLKTC19">#REF!</definedName>
    <definedName name="RDRBLKTC2" localSheetId="3">#REF!</definedName>
    <definedName name="RDRBLKTC2" localSheetId="4">#REF!</definedName>
    <definedName name="RDRBLKTC2">#REF!</definedName>
    <definedName name="RDRBLKTC20" localSheetId="3">#REF!</definedName>
    <definedName name="RDRBLKTC20" localSheetId="4">#REF!</definedName>
    <definedName name="RDRBLKTC20">#REF!</definedName>
    <definedName name="RDRBLKTC3" localSheetId="3">#REF!</definedName>
    <definedName name="RDRBLKTC3" localSheetId="4">#REF!</definedName>
    <definedName name="RDRBLKTC3">#REF!</definedName>
    <definedName name="RDRBLKTC4" localSheetId="3">#REF!</definedName>
    <definedName name="RDRBLKTC4" localSheetId="4">#REF!</definedName>
    <definedName name="RDRBLKTC4">#REF!</definedName>
    <definedName name="RDRBLKTC5" localSheetId="3">#REF!</definedName>
    <definedName name="RDRBLKTC5" localSheetId="4">#REF!</definedName>
    <definedName name="RDRBLKTC5">#REF!</definedName>
    <definedName name="RDRBLKTC6" localSheetId="3">#REF!</definedName>
    <definedName name="RDRBLKTC6" localSheetId="4">#REF!</definedName>
    <definedName name="RDRBLKTC6">#REF!</definedName>
    <definedName name="RDRBLKTC7" localSheetId="3">#REF!</definedName>
    <definedName name="RDRBLKTC7" localSheetId="4">#REF!</definedName>
    <definedName name="RDRBLKTC7">#REF!</definedName>
    <definedName name="RDRBLKTC8" localSheetId="3">#REF!</definedName>
    <definedName name="RDRBLKTC8" localSheetId="4">#REF!</definedName>
    <definedName name="RDRBLKTC8">#REF!</definedName>
    <definedName name="RDRBLKTC9" localSheetId="3">#REF!</definedName>
    <definedName name="RDRBLKTC9" localSheetId="4">#REF!</definedName>
    <definedName name="RDRBLKTC9">#REF!</definedName>
    <definedName name="RDRBLKTQ" localSheetId="3">#REF!</definedName>
    <definedName name="RDRBLKTQ" localSheetId="4">#REF!</definedName>
    <definedName name="RDRBLKTQ">#REF!</definedName>
    <definedName name="RDRCODE" localSheetId="3">#REF!</definedName>
    <definedName name="RDRCODE" localSheetId="4">#REF!</definedName>
    <definedName name="RDRCODE">#REF!</definedName>
    <definedName name="RDRCYCLE" localSheetId="3">#REF!</definedName>
    <definedName name="RDRCYCLE" localSheetId="4">#REF!</definedName>
    <definedName name="RDRCYCLE">#REF!</definedName>
    <definedName name="RDRDATE" localSheetId="3">#REF!</definedName>
    <definedName name="RDRDATE" localSheetId="4">#REF!</definedName>
    <definedName name="RDRDATE">#REF!</definedName>
    <definedName name="RDRNAME" localSheetId="3">#REF!</definedName>
    <definedName name="RDRNAME" localSheetId="4">#REF!</definedName>
    <definedName name="RDRNAME">#REF!</definedName>
    <definedName name="RDRRATEB" localSheetId="3">#REF!</definedName>
    <definedName name="RDRRATEB" localSheetId="4">#REF!</definedName>
    <definedName name="RDRRATEB">#REF!</definedName>
    <definedName name="RDRRATEB1" localSheetId="3">#REF!</definedName>
    <definedName name="RDRRATEB1" localSheetId="4">#REF!</definedName>
    <definedName name="RDRRATEB1">#REF!</definedName>
    <definedName name="RDRRATEB10" localSheetId="3">#REF!</definedName>
    <definedName name="RDRRATEB10" localSheetId="4">#REF!</definedName>
    <definedName name="RDRRATEB10">#REF!</definedName>
    <definedName name="RDRRATEB11" localSheetId="3">#REF!</definedName>
    <definedName name="RDRRATEB11" localSheetId="4">#REF!</definedName>
    <definedName name="RDRRATEB11">#REF!</definedName>
    <definedName name="RDRRATEB12" localSheetId="3">#REF!</definedName>
    <definedName name="RDRRATEB12" localSheetId="4">#REF!</definedName>
    <definedName name="RDRRATEB12">#REF!</definedName>
    <definedName name="RDRRATEB13" localSheetId="3">#REF!</definedName>
    <definedName name="RDRRATEB13" localSheetId="4">#REF!</definedName>
    <definedName name="RDRRATEB13">#REF!</definedName>
    <definedName name="RDRRATEB14" localSheetId="3">#REF!</definedName>
    <definedName name="RDRRATEB14" localSheetId="4">#REF!</definedName>
    <definedName name="RDRRATEB14">#REF!</definedName>
    <definedName name="RDRRATEB15" localSheetId="3">#REF!</definedName>
    <definedName name="RDRRATEB15" localSheetId="4">#REF!</definedName>
    <definedName name="RDRRATEB15">#REF!</definedName>
    <definedName name="RDRRATEB16" localSheetId="3">#REF!</definedName>
    <definedName name="RDRRATEB16" localSheetId="4">#REF!</definedName>
    <definedName name="RDRRATEB16">#REF!</definedName>
    <definedName name="RDRRATEB17" localSheetId="3">#REF!</definedName>
    <definedName name="RDRRATEB17" localSheetId="4">#REF!</definedName>
    <definedName name="RDRRATEB17">#REF!</definedName>
    <definedName name="RDRRATEB18" localSheetId="3">#REF!</definedName>
    <definedName name="RDRRATEB18" localSheetId="4">#REF!</definedName>
    <definedName name="RDRRATEB18">#REF!</definedName>
    <definedName name="RDRRATEB19" localSheetId="3">#REF!</definedName>
    <definedName name="RDRRATEB19" localSheetId="4">#REF!</definedName>
    <definedName name="RDRRATEB19">#REF!</definedName>
    <definedName name="RDRRATEB2" localSheetId="3">#REF!</definedName>
    <definedName name="RDRRATEB2" localSheetId="4">#REF!</definedName>
    <definedName name="RDRRATEB2">#REF!</definedName>
    <definedName name="RDRRATEB20" localSheetId="3">#REF!</definedName>
    <definedName name="RDRRATEB20" localSheetId="4">#REF!</definedName>
    <definedName name="RDRRATEB20">#REF!</definedName>
    <definedName name="RDRRATEB3" localSheetId="3">#REF!</definedName>
    <definedName name="RDRRATEB3" localSheetId="4">#REF!</definedName>
    <definedName name="RDRRATEB3">#REF!</definedName>
    <definedName name="RDRRATEB4" localSheetId="3">#REF!</definedName>
    <definedName name="RDRRATEB4" localSheetId="4">#REF!</definedName>
    <definedName name="RDRRATEB4">#REF!</definedName>
    <definedName name="RDRRATEB5" localSheetId="3">#REF!</definedName>
    <definedName name="RDRRATEB5" localSheetId="4">#REF!</definedName>
    <definedName name="RDRRATEB5">#REF!</definedName>
    <definedName name="RDRRATEB6" localSheetId="3">#REF!</definedName>
    <definedName name="RDRRATEB6" localSheetId="4">#REF!</definedName>
    <definedName name="RDRRATEB6">#REF!</definedName>
    <definedName name="RDRRATEB7" localSheetId="3">#REF!</definedName>
    <definedName name="RDRRATEB7" localSheetId="4">#REF!</definedName>
    <definedName name="RDRRATEB7">#REF!</definedName>
    <definedName name="RDRRATEB8" localSheetId="3">#REF!</definedName>
    <definedName name="RDRRATEB8" localSheetId="4">#REF!</definedName>
    <definedName name="RDRRATEB8">#REF!</definedName>
    <definedName name="RDRRATEB9" localSheetId="3">#REF!</definedName>
    <definedName name="RDRRATEB9" localSheetId="4">#REF!</definedName>
    <definedName name="RDRRATEB9">#REF!</definedName>
    <definedName name="RDRRATED" localSheetId="3">#REF!</definedName>
    <definedName name="RDRRATED" localSheetId="4">#REF!</definedName>
    <definedName name="RDRRATED">#REF!</definedName>
    <definedName name="RDRRATED1" localSheetId="3">#REF!</definedName>
    <definedName name="RDRRATED1" localSheetId="4">#REF!</definedName>
    <definedName name="RDRRATED1">#REF!</definedName>
    <definedName name="RDRRATED10" localSheetId="3">#REF!</definedName>
    <definedName name="RDRRATED10" localSheetId="4">#REF!</definedName>
    <definedName name="RDRRATED10">#REF!</definedName>
    <definedName name="RDRRATED11" localSheetId="3">#REF!</definedName>
    <definedName name="RDRRATED11" localSheetId="4">#REF!</definedName>
    <definedName name="RDRRATED11">#REF!</definedName>
    <definedName name="RDRRATED12" localSheetId="3">#REF!</definedName>
    <definedName name="RDRRATED12" localSheetId="4">#REF!</definedName>
    <definedName name="RDRRATED12">#REF!</definedName>
    <definedName name="RDRRATED13" localSheetId="3">#REF!</definedName>
    <definedName name="RDRRATED13" localSheetId="4">#REF!</definedName>
    <definedName name="RDRRATED13">#REF!</definedName>
    <definedName name="RDRRATED14" localSheetId="3">#REF!</definedName>
    <definedName name="RDRRATED14" localSheetId="4">#REF!</definedName>
    <definedName name="RDRRATED14">#REF!</definedName>
    <definedName name="RDRRATED15" localSheetId="3">#REF!</definedName>
    <definedName name="RDRRATED15" localSheetId="4">#REF!</definedName>
    <definedName name="RDRRATED15">#REF!</definedName>
    <definedName name="RDRRATED16" localSheetId="3">#REF!</definedName>
    <definedName name="RDRRATED16" localSheetId="4">#REF!</definedName>
    <definedName name="RDRRATED16">#REF!</definedName>
    <definedName name="RDRRATED17" localSheetId="3">#REF!</definedName>
    <definedName name="RDRRATED17" localSheetId="4">#REF!</definedName>
    <definedName name="RDRRATED17">#REF!</definedName>
    <definedName name="RDRRATED18" localSheetId="3">#REF!</definedName>
    <definedName name="RDRRATED18" localSheetId="4">#REF!</definedName>
    <definedName name="RDRRATED18">#REF!</definedName>
    <definedName name="RDRRATED19" localSheetId="3">#REF!</definedName>
    <definedName name="RDRRATED19" localSheetId="4">#REF!</definedName>
    <definedName name="RDRRATED19">#REF!</definedName>
    <definedName name="RDRRATED2" localSheetId="3">#REF!</definedName>
    <definedName name="RDRRATED2" localSheetId="4">#REF!</definedName>
    <definedName name="RDRRATED2">#REF!</definedName>
    <definedName name="RDRRATED20" localSheetId="3">#REF!</definedName>
    <definedName name="RDRRATED20" localSheetId="4">#REF!</definedName>
    <definedName name="RDRRATED20">#REF!</definedName>
    <definedName name="RDRRATED3" localSheetId="3">#REF!</definedName>
    <definedName name="RDRRATED3" localSheetId="4">#REF!</definedName>
    <definedName name="RDRRATED3">#REF!</definedName>
    <definedName name="RDRRATED4" localSheetId="3">#REF!</definedName>
    <definedName name="RDRRATED4" localSheetId="4">#REF!</definedName>
    <definedName name="RDRRATED4">#REF!</definedName>
    <definedName name="RDRRATED5" localSheetId="3">#REF!</definedName>
    <definedName name="RDRRATED5" localSheetId="4">#REF!</definedName>
    <definedName name="RDRRATED5">#REF!</definedName>
    <definedName name="RDRRATED6" localSheetId="3">#REF!</definedName>
    <definedName name="RDRRATED6" localSheetId="4">#REF!</definedName>
    <definedName name="RDRRATED6">#REF!</definedName>
    <definedName name="RDRRATED7" localSheetId="3">#REF!</definedName>
    <definedName name="RDRRATED7" localSheetId="4">#REF!</definedName>
    <definedName name="RDRRATED7">#REF!</definedName>
    <definedName name="RDRRATED8" localSheetId="3">#REF!</definedName>
    <definedName name="RDRRATED8" localSheetId="4">#REF!</definedName>
    <definedName name="RDRRATED8">#REF!</definedName>
    <definedName name="RDRRATED9" localSheetId="3">#REF!</definedName>
    <definedName name="RDRRATED9" localSheetId="4">#REF!</definedName>
    <definedName name="RDRRATED9">#REF!</definedName>
    <definedName name="RDRRATEG" localSheetId="3">#REF!</definedName>
    <definedName name="RDRRATEG" localSheetId="4">#REF!</definedName>
    <definedName name="RDRRATEG">#REF!</definedName>
    <definedName name="RDRRATEG1" localSheetId="3">#REF!</definedName>
    <definedName name="RDRRATEG1" localSheetId="4">#REF!</definedName>
    <definedName name="RDRRATEG1">#REF!</definedName>
    <definedName name="RDRRATEG10" localSheetId="3">#REF!</definedName>
    <definedName name="RDRRATEG10" localSheetId="4">#REF!</definedName>
    <definedName name="RDRRATEG10">#REF!</definedName>
    <definedName name="RDRRATEG11" localSheetId="3">#REF!</definedName>
    <definedName name="RDRRATEG11" localSheetId="4">#REF!</definedName>
    <definedName name="RDRRATEG11">#REF!</definedName>
    <definedName name="RDRRATEG12" localSheetId="3">#REF!</definedName>
    <definedName name="RDRRATEG12" localSheetId="4">#REF!</definedName>
    <definedName name="RDRRATEG12">#REF!</definedName>
    <definedName name="RDRRATEG13" localSheetId="3">#REF!</definedName>
    <definedName name="RDRRATEG13" localSheetId="4">#REF!</definedName>
    <definedName name="RDRRATEG13">#REF!</definedName>
    <definedName name="RDRRATEG14" localSheetId="3">#REF!</definedName>
    <definedName name="RDRRATEG14" localSheetId="4">#REF!</definedName>
    <definedName name="RDRRATEG14">#REF!</definedName>
    <definedName name="RDRRATEG15" localSheetId="3">#REF!</definedName>
    <definedName name="RDRRATEG15" localSheetId="4">#REF!</definedName>
    <definedName name="RDRRATEG15">#REF!</definedName>
    <definedName name="RDRRATEG16" localSheetId="3">#REF!</definedName>
    <definedName name="RDRRATEG16" localSheetId="4">#REF!</definedName>
    <definedName name="RDRRATEG16">#REF!</definedName>
    <definedName name="RDRRATEG17" localSheetId="3">#REF!</definedName>
    <definedName name="RDRRATEG17" localSheetId="4">#REF!</definedName>
    <definedName name="RDRRATEG17">#REF!</definedName>
    <definedName name="RDRRATEG18" localSheetId="3">#REF!</definedName>
    <definedName name="RDRRATEG18" localSheetId="4">#REF!</definedName>
    <definedName name="RDRRATEG18">#REF!</definedName>
    <definedName name="RDRRATEG19" localSheetId="3">#REF!</definedName>
    <definedName name="RDRRATEG19" localSheetId="4">#REF!</definedName>
    <definedName name="RDRRATEG19">#REF!</definedName>
    <definedName name="RDRRATEG2" localSheetId="3">#REF!</definedName>
    <definedName name="RDRRATEG2" localSheetId="4">#REF!</definedName>
    <definedName name="RDRRATEG2">#REF!</definedName>
    <definedName name="RDRRATEG20" localSheetId="3">#REF!</definedName>
    <definedName name="RDRRATEG20" localSheetId="4">#REF!</definedName>
    <definedName name="RDRRATEG20">#REF!</definedName>
    <definedName name="RDRRATEG3" localSheetId="3">#REF!</definedName>
    <definedName name="RDRRATEG3" localSheetId="4">#REF!</definedName>
    <definedName name="RDRRATEG3">#REF!</definedName>
    <definedName name="RDRRATEG4" localSheetId="3">#REF!</definedName>
    <definedName name="RDRRATEG4" localSheetId="4">#REF!</definedName>
    <definedName name="RDRRATEG4">#REF!</definedName>
    <definedName name="RDRRATEG5" localSheetId="3">#REF!</definedName>
    <definedName name="RDRRATEG5" localSheetId="4">#REF!</definedName>
    <definedName name="RDRRATEG5">#REF!</definedName>
    <definedName name="RDRRATEG6" localSheetId="3">#REF!</definedName>
    <definedName name="RDRRATEG6" localSheetId="4">#REF!</definedName>
    <definedName name="RDRRATEG6">#REF!</definedName>
    <definedName name="RDRRATEG7" localSheetId="3">#REF!</definedName>
    <definedName name="RDRRATEG7" localSheetId="4">#REF!</definedName>
    <definedName name="RDRRATEG7">#REF!</definedName>
    <definedName name="RDRRATEG8" localSheetId="3">#REF!</definedName>
    <definedName name="RDRRATEG8" localSheetId="4">#REF!</definedName>
    <definedName name="RDRRATEG8">#REF!</definedName>
    <definedName name="RDRRATEG9" localSheetId="3">#REF!</definedName>
    <definedName name="RDRRATEG9" localSheetId="4">#REF!</definedName>
    <definedName name="RDRRATEG9">#REF!</definedName>
    <definedName name="RDRRATET" localSheetId="3">#REF!</definedName>
    <definedName name="RDRRATET" localSheetId="4">#REF!</definedName>
    <definedName name="RDRRATET">#REF!</definedName>
    <definedName name="RDRRATET1" localSheetId="3">#REF!</definedName>
    <definedName name="RDRRATET1" localSheetId="4">#REF!</definedName>
    <definedName name="RDRRATET1">#REF!</definedName>
    <definedName name="RDRRATET10" localSheetId="3">#REF!</definedName>
    <definedName name="RDRRATET10" localSheetId="4">#REF!</definedName>
    <definedName name="RDRRATET10">#REF!</definedName>
    <definedName name="RDRRATET11" localSheetId="3">#REF!</definedName>
    <definedName name="RDRRATET11" localSheetId="4">#REF!</definedName>
    <definedName name="RDRRATET11">#REF!</definedName>
    <definedName name="RDRRATET12" localSheetId="3">#REF!</definedName>
    <definedName name="RDRRATET12" localSheetId="4">#REF!</definedName>
    <definedName name="RDRRATET12">#REF!</definedName>
    <definedName name="RDRRATET13" localSheetId="3">#REF!</definedName>
    <definedName name="RDRRATET13" localSheetId="4">#REF!</definedName>
    <definedName name="RDRRATET13">#REF!</definedName>
    <definedName name="RDRRATET14" localSheetId="3">#REF!</definedName>
    <definedName name="RDRRATET14" localSheetId="4">#REF!</definedName>
    <definedName name="RDRRATET14">#REF!</definedName>
    <definedName name="RDRRATET15" localSheetId="3">#REF!</definedName>
    <definedName name="RDRRATET15" localSheetId="4">#REF!</definedName>
    <definedName name="RDRRATET15">#REF!</definedName>
    <definedName name="RDRRATET16" localSheetId="3">#REF!</definedName>
    <definedName name="RDRRATET16" localSheetId="4">#REF!</definedName>
    <definedName name="RDRRATET16">#REF!</definedName>
    <definedName name="RDRRATET17" localSheetId="3">#REF!</definedName>
    <definedName name="RDRRATET17" localSheetId="4">#REF!</definedName>
    <definedName name="RDRRATET17">#REF!</definedName>
    <definedName name="RDRRATET18" localSheetId="3">#REF!</definedName>
    <definedName name="RDRRATET18" localSheetId="4">#REF!</definedName>
    <definedName name="RDRRATET18">#REF!</definedName>
    <definedName name="RDRRATET19" localSheetId="3">#REF!</definedName>
    <definedName name="RDRRATET19" localSheetId="4">#REF!</definedName>
    <definedName name="RDRRATET19">#REF!</definedName>
    <definedName name="RDRRATET2" localSheetId="3">#REF!</definedName>
    <definedName name="RDRRATET2" localSheetId="4">#REF!</definedName>
    <definedName name="RDRRATET2">#REF!</definedName>
    <definedName name="RDRRATET20" localSheetId="3">#REF!</definedName>
    <definedName name="RDRRATET20" localSheetId="4">#REF!</definedName>
    <definedName name="RDRRATET20">#REF!</definedName>
    <definedName name="RDRRATET3" localSheetId="3">#REF!</definedName>
    <definedName name="RDRRATET3" localSheetId="4">#REF!</definedName>
    <definedName name="RDRRATET3">#REF!</definedName>
    <definedName name="RDRRATET4" localSheetId="3">#REF!</definedName>
    <definedName name="RDRRATET4" localSheetId="4">#REF!</definedName>
    <definedName name="RDRRATET4">#REF!</definedName>
    <definedName name="RDRRATET5" localSheetId="3">#REF!</definedName>
    <definedName name="RDRRATET5" localSheetId="4">#REF!</definedName>
    <definedName name="RDRRATET5">#REF!</definedName>
    <definedName name="RDRRATET6" localSheetId="3">#REF!</definedName>
    <definedName name="RDRRATET6" localSheetId="4">#REF!</definedName>
    <definedName name="RDRRATET6">#REF!</definedName>
    <definedName name="RDRRATET7" localSheetId="3">#REF!</definedName>
    <definedName name="RDRRATET7" localSheetId="4">#REF!</definedName>
    <definedName name="RDRRATET7">#REF!</definedName>
    <definedName name="RDRRATET8" localSheetId="3">#REF!</definedName>
    <definedName name="RDRRATET8" localSheetId="4">#REF!</definedName>
    <definedName name="RDRRATET8">#REF!</definedName>
    <definedName name="RDRRATET9" localSheetId="3">#REF!</definedName>
    <definedName name="RDRRATET9" localSheetId="4">#REF!</definedName>
    <definedName name="RDRRATET9">#REF!</definedName>
    <definedName name="RDRTYPE" localSheetId="3">#REF!</definedName>
    <definedName name="RDRTYPE" localSheetId="4">#REF!</definedName>
    <definedName name="RDRTYPE">#REF!</definedName>
    <definedName name="RDRUNITS" localSheetId="3">#REF!</definedName>
    <definedName name="RDRUNITS" localSheetId="4">#REF!</definedName>
    <definedName name="RDRUNITS">#REF!</definedName>
    <definedName name="_xlnm.Recorder" localSheetId="3">#REF!</definedName>
    <definedName name="_xlnm.Recorder" localSheetId="4">#REF!</definedName>
    <definedName name="_xlnm.Recorder">#REF!</definedName>
    <definedName name="Reserved_Section" localSheetId="3">#REF!</definedName>
    <definedName name="Reserved_Section" localSheetId="4">#REF!</definedName>
    <definedName name="Reserved_Section">#REF!</definedName>
    <definedName name="RIDERS" localSheetId="3">#REF!</definedName>
    <definedName name="RIDERS" localSheetId="4">#REF!</definedName>
    <definedName name="RIDERS">#REF!</definedName>
    <definedName name="RKVAHRDNG" localSheetId="3">#REF!</definedName>
    <definedName name="RKVAHRDNG" localSheetId="4">#REF!</definedName>
    <definedName name="RKVAHRDNG">#REF!</definedName>
    <definedName name="RTCHTCNTRCTCPCT" localSheetId="3">#REF!</definedName>
    <definedName name="RTCHTCNTRCTCPCT" localSheetId="4">#REF!</definedName>
    <definedName name="RTCHTCNTRCTCPCT">#REF!</definedName>
    <definedName name="RTCHTFCTR" localSheetId="3">#REF!</definedName>
    <definedName name="RTCHTFCTR" localSheetId="4">#REF!</definedName>
    <definedName name="RTCHTFCTR">#REF!</definedName>
    <definedName name="RTCHTFCTR2" localSheetId="3">#REF!</definedName>
    <definedName name="RTCHTFCTR2" localSheetId="4">#REF!</definedName>
    <definedName name="RTCHTFCTR2">#REF!</definedName>
    <definedName name="RTCHTHIPREVKW" localSheetId="3">#REF!</definedName>
    <definedName name="RTCHTHIPREVKW" localSheetId="4">#REF!</definedName>
    <definedName name="RTCHTHIPREVKW">#REF!</definedName>
    <definedName name="RTP_Detail" localSheetId="3">#REF!</definedName>
    <definedName name="RTP_Detail" localSheetId="4">#REF!</definedName>
    <definedName name="RTP_Detail">#REF!</definedName>
    <definedName name="RTPLRKW" localSheetId="3">#REF!</definedName>
    <definedName name="RTPLRKW" localSheetId="4">#REF!</definedName>
    <definedName name="RTPLRKW">#REF!</definedName>
    <definedName name="SDI" localSheetId="3">#REF!</definedName>
    <definedName name="SDI" localSheetId="4">#REF!</definedName>
    <definedName name="SDI">#REF!</definedName>
    <definedName name="SHLDRPKKW" localSheetId="3">#REF!</definedName>
    <definedName name="SHLDRPKKW" localSheetId="4">#REF!</definedName>
    <definedName name="SHLDRPKKW">#REF!</definedName>
    <definedName name="SHLDRPKKWDT" localSheetId="3">#REF!</definedName>
    <definedName name="SHLDRPKKWDT" localSheetId="4">#REF!</definedName>
    <definedName name="SHLDRPKKWDT">#REF!</definedName>
    <definedName name="SHLDRPKKWTM" localSheetId="3">#REF!</definedName>
    <definedName name="SHLDRPKKWTM" localSheetId="4">#REF!</definedName>
    <definedName name="SHLDRPKKWTM">#REF!</definedName>
    <definedName name="SHRDTRNSKWH" localSheetId="3">#REF!</definedName>
    <definedName name="SHRDTRNSKWH" localSheetId="4">#REF!</definedName>
    <definedName name="SHRDTRNSKWH">#REF!</definedName>
    <definedName name="SRPLSKWH" localSheetId="3">#REF!</definedName>
    <definedName name="SRPLSKWH" localSheetId="4">#REF!</definedName>
    <definedName name="SRPLSKWH">#REF!</definedName>
    <definedName name="STARTDTM" localSheetId="3">#REF!</definedName>
    <definedName name="STARTDTM" localSheetId="4">#REF!</definedName>
    <definedName name="STARTDTM">#REF!</definedName>
    <definedName name="State" localSheetId="3">#REF!</definedName>
    <definedName name="State" localSheetId="4">#REF!</definedName>
    <definedName name="State">#REF!</definedName>
    <definedName name="STDKW" localSheetId="3">#REF!</definedName>
    <definedName name="STDKW" localSheetId="4">#REF!</definedName>
    <definedName name="STDKW">#REF!</definedName>
    <definedName name="STDKWDT" localSheetId="3">#REF!</definedName>
    <definedName name="STDKWDT" localSheetId="4">#REF!</definedName>
    <definedName name="STDKWDT">#REF!</definedName>
    <definedName name="STDKWTM" localSheetId="3">#REF!</definedName>
    <definedName name="STDKWTM" localSheetId="4">#REF!</definedName>
    <definedName name="STDKWTM">#REF!</definedName>
    <definedName name="STRTTIME" localSheetId="3">#REF!</definedName>
    <definedName name="STRTTIME" localSheetId="4">#REF!</definedName>
    <definedName name="STRTTIME">#REF!</definedName>
    <definedName name="SWP_Hist_Allocators">#REF!</definedName>
    <definedName name="SWP_Proj_Allocators">#REF!</definedName>
    <definedName name="SWP_TU_Allocators">#REF!</definedName>
    <definedName name="SWPallocatorsH" localSheetId="3">#REF!</definedName>
    <definedName name="SWPallocatorsH" localSheetId="4">#REF!</definedName>
    <definedName name="SWPallocatorsH">#REF!</definedName>
    <definedName name="SWPallocatorsP" localSheetId="3">#REF!</definedName>
    <definedName name="SWPallocatorsP" localSheetId="4">#REF!</definedName>
    <definedName name="SWPallocatorsP">#REF!</definedName>
    <definedName name="SYSPKKW" localSheetId="3">#REF!</definedName>
    <definedName name="SYSPKKW" localSheetId="4">#REF!</definedName>
    <definedName name="SYSPKKW">#REF!</definedName>
    <definedName name="SYSPKKWDT" localSheetId="3">#REF!</definedName>
    <definedName name="SYSPKKWDT" localSheetId="4">#REF!</definedName>
    <definedName name="SYSPKKWDT">#REF!</definedName>
    <definedName name="SYSPKKWTM" localSheetId="3">#REF!</definedName>
    <definedName name="SYSPKKWTM" localSheetId="4">#REF!</definedName>
    <definedName name="SYSPKKWTM">#REF!</definedName>
    <definedName name="TARIFF1" localSheetId="3">#REF!</definedName>
    <definedName name="TARIFF1" localSheetId="4">#REF!</definedName>
    <definedName name="TARIFF1">#REF!</definedName>
    <definedName name="TARIFF2" localSheetId="3">#REF!</definedName>
    <definedName name="TARIFF2" localSheetId="4">#REF!</definedName>
    <definedName name="TARIFF2">#REF!</definedName>
    <definedName name="TariffCode" localSheetId="3">#REF!</definedName>
    <definedName name="TariffCode" localSheetId="4">#REF!</definedName>
    <definedName name="TariffCode">#REF!</definedName>
    <definedName name="TariffLongName" localSheetId="3">#REF!</definedName>
    <definedName name="TariffLongName" localSheetId="4">#REF!</definedName>
    <definedName name="TariffLongName">#REF!</definedName>
    <definedName name="TariffShortName" localSheetId="3">#REF!</definedName>
    <definedName name="TariffShortName" localSheetId="4">#REF!</definedName>
    <definedName name="TariffShortName">#REF!</definedName>
    <definedName name="TAXDATE" localSheetId="3">#REF!</definedName>
    <definedName name="TAXDATE" localSheetId="4">#REF!</definedName>
    <definedName name="TAXDATE">#REF!</definedName>
    <definedName name="TAXES" localSheetId="3">#REF!</definedName>
    <definedName name="TAXES" localSheetId="4">#REF!</definedName>
    <definedName name="TAXES">#REF!</definedName>
    <definedName name="TAXNAME" localSheetId="3">#REF!</definedName>
    <definedName name="TAXNAME" localSheetId="4">#REF!</definedName>
    <definedName name="TAXNAME">#REF!</definedName>
    <definedName name="TAXRATE" localSheetId="3">#REF!</definedName>
    <definedName name="TAXRATE" localSheetId="4">#REF!</definedName>
    <definedName name="TAXRATE">#REF!</definedName>
    <definedName name="TAXTYPE" localSheetId="3">#REF!</definedName>
    <definedName name="TAXTYPE" localSheetId="4">#REF!</definedName>
    <definedName name="TAXTYPE">#REF!</definedName>
    <definedName name="TCst" localSheetId="3">#REF!</definedName>
    <definedName name="TCst" localSheetId="4">#REF!</definedName>
    <definedName name="TCst">#REF!</definedName>
    <definedName name="TCst1" localSheetId="3">#REF!</definedName>
    <definedName name="TCst1" localSheetId="4">#REF!</definedName>
    <definedName name="TCst1">#REF!</definedName>
    <definedName name="TIRPCCHG" localSheetId="3">#REF!</definedName>
    <definedName name="TIRPCCHG" localSheetId="4">#REF!</definedName>
    <definedName name="TIRPCCHG">#REF!</definedName>
    <definedName name="TIRPDCHG1" localSheetId="3">#REF!</definedName>
    <definedName name="TIRPDCHG1" localSheetId="4">#REF!</definedName>
    <definedName name="TIRPDCHG1">#REF!</definedName>
    <definedName name="TIRPDCHG2" localSheetId="3">#REF!</definedName>
    <definedName name="TIRPDCHG2" localSheetId="4">#REF!</definedName>
    <definedName name="TIRPDCHG2">#REF!</definedName>
    <definedName name="TIRPECHG1" localSheetId="3">#REF!</definedName>
    <definedName name="TIRPECHG1" localSheetId="4">#REF!</definedName>
    <definedName name="TIRPECHG1">#REF!</definedName>
    <definedName name="TIRPECHGB1" localSheetId="3">#REF!</definedName>
    <definedName name="TIRPECHGB1" localSheetId="4">#REF!</definedName>
    <definedName name="TIRPECHGB1">#REF!</definedName>
    <definedName name="TIRPECHGB2" localSheetId="3">#REF!</definedName>
    <definedName name="TIRPECHGB2" localSheetId="4">#REF!</definedName>
    <definedName name="TIRPECHGB2">#REF!</definedName>
    <definedName name="TIRPECHGB3" localSheetId="3">#REF!</definedName>
    <definedName name="TIRPECHGB3" localSheetId="4">#REF!</definedName>
    <definedName name="TIRPECHGB3">#REF!</definedName>
    <definedName name="TIRPMECHG1" localSheetId="3">#REF!</definedName>
    <definedName name="TIRPMECHG1" localSheetId="4">#REF!</definedName>
    <definedName name="TIRPMECHG1">#REF!</definedName>
    <definedName name="TIRPMINDC" localSheetId="3">#REF!</definedName>
    <definedName name="TIRPMINDC" localSheetId="4">#REF!</definedName>
    <definedName name="TIRPMINDC">#REF!</definedName>
    <definedName name="TIRPMINEC" localSheetId="3">#REF!</definedName>
    <definedName name="TIRPMINEC" localSheetId="4">#REF!</definedName>
    <definedName name="TIRPMINEC">#REF!</definedName>
    <definedName name="TIRPOFKVA" localSheetId="3">#REF!</definedName>
    <definedName name="TIRPOFKVA" localSheetId="4">#REF!</definedName>
    <definedName name="TIRPOFKVA">#REF!</definedName>
    <definedName name="TIRPOFKW" localSheetId="3">#REF!</definedName>
    <definedName name="TIRPOFKW" localSheetId="4">#REF!</definedName>
    <definedName name="TIRPOFKW">#REF!</definedName>
    <definedName name="TIRPOFKWH" localSheetId="3">#REF!</definedName>
    <definedName name="TIRPOFKWH" localSheetId="4">#REF!</definedName>
    <definedName name="TIRPOFKWH">#REF!</definedName>
    <definedName name="TIRPOPKWH" localSheetId="3">#REF!</definedName>
    <definedName name="TIRPOPKWH" localSheetId="4">#REF!</definedName>
    <definedName name="TIRPOPKWH">#REF!</definedName>
    <definedName name="TIRPP1EC" localSheetId="3">#REF!</definedName>
    <definedName name="TIRPP1EC" localSheetId="4">#REF!</definedName>
    <definedName name="TIRPP1EC">#REF!</definedName>
    <definedName name="TIRPP2EC" localSheetId="3">#REF!</definedName>
    <definedName name="TIRPP2EC" localSheetId="4">#REF!</definedName>
    <definedName name="TIRPP2EC">#REF!</definedName>
    <definedName name="TIRPP3EC" localSheetId="3">#REF!</definedName>
    <definedName name="TIRPP3EC" localSheetId="4">#REF!</definedName>
    <definedName name="TIRPP3EC">#REF!</definedName>
    <definedName name="TIRPP4EC" localSheetId="3">#REF!</definedName>
    <definedName name="TIRPP4EC" localSheetId="4">#REF!</definedName>
    <definedName name="TIRPP4EC">#REF!</definedName>
    <definedName name="TIRPP5EC" localSheetId="3">#REF!</definedName>
    <definedName name="TIRPP5EC" localSheetId="4">#REF!</definedName>
    <definedName name="TIRPP5EC">#REF!</definedName>
    <definedName name="TIRPRCHG" localSheetId="3">#REF!</definedName>
    <definedName name="TIRPRCHG" localSheetId="4">#REF!</definedName>
    <definedName name="TIRPRCHG">#REF!</definedName>
    <definedName name="TLsFctr" localSheetId="3">#REF!</definedName>
    <definedName name="TLsFctr" localSheetId="4">#REF!</definedName>
    <definedName name="TLsFctr">#REF!</definedName>
    <definedName name="TRCRDKWH" localSheetId="3">#REF!</definedName>
    <definedName name="TRCRDKWH" localSheetId="4">#REF!</definedName>
    <definedName name="TRCRDKWH">#REF!</definedName>
    <definedName name="TRCRDKWH2P" localSheetId="3">#REF!</definedName>
    <definedName name="TRCRDKWH2P" localSheetId="4">#REF!</definedName>
    <definedName name="TRCRDKWH2P">#REF!</definedName>
    <definedName name="TRFDATE1" localSheetId="3">#REF!</definedName>
    <definedName name="TRFDATE1" localSheetId="4">#REF!</definedName>
    <definedName name="TRFDATE1">#REF!</definedName>
    <definedName name="TRFDATE2" localSheetId="3">#REF!</definedName>
    <definedName name="TRFDATE2" localSheetId="4">#REF!</definedName>
    <definedName name="TRFDATE2">#REF!</definedName>
    <definedName name="TRFNAME1" localSheetId="3">#REF!</definedName>
    <definedName name="TRFNAME1" localSheetId="4">#REF!</definedName>
    <definedName name="TRFNAME1">#REF!</definedName>
    <definedName name="TRFNAME2" localSheetId="3">#REF!</definedName>
    <definedName name="TRFNAME2" localSheetId="4">#REF!</definedName>
    <definedName name="TRFNAME2">#REF!</definedName>
    <definedName name="TRFSHORTNM1" localSheetId="3">#REF!</definedName>
    <definedName name="TRFSHORTNM1" localSheetId="4">#REF!</definedName>
    <definedName name="TRFSHORTNM1">#REF!</definedName>
    <definedName name="TRFSHORTNM2" localSheetId="3">#REF!</definedName>
    <definedName name="TRFSHORTNM2" localSheetId="4">#REF!</definedName>
    <definedName name="TRFSHORTNM2">#REF!</definedName>
    <definedName name="TrnBlkKwhChg1" localSheetId="3">#REF!</definedName>
    <definedName name="TrnBlkKwhChg1" localSheetId="4">#REF!</definedName>
    <definedName name="TrnBlkKwhChg1">#REF!</definedName>
    <definedName name="TrnBlkKwhChg2" localSheetId="3">#REF!</definedName>
    <definedName name="TrnBlkKwhChg2" localSheetId="4">#REF!</definedName>
    <definedName name="TrnBlkKwhChg2">#REF!</definedName>
    <definedName name="TrnBlkKwhChg3" localSheetId="3">#REF!</definedName>
    <definedName name="TrnBlkKwhChg3" localSheetId="4">#REF!</definedName>
    <definedName name="TrnBlkKwhChg3">#REF!</definedName>
    <definedName name="TrnBlkKwhChgT" localSheetId="3">#REF!</definedName>
    <definedName name="TrnBlkKwhChgT" localSheetId="4">#REF!</definedName>
    <definedName name="TrnBlkKwhChgT">#REF!</definedName>
    <definedName name="TRNCCHG" localSheetId="3">#REF!</definedName>
    <definedName name="TRNCCHG" localSheetId="4">#REF!</definedName>
    <definedName name="TRNCCHG">#REF!</definedName>
    <definedName name="TrnCustChg" localSheetId="3">#REF!</definedName>
    <definedName name="TrnCustChg" localSheetId="4">#REF!</definedName>
    <definedName name="TrnCustChg">#REF!</definedName>
    <definedName name="TRNDCHG1" localSheetId="3">#REF!</definedName>
    <definedName name="TRNDCHG1" localSheetId="4">#REF!</definedName>
    <definedName name="TRNDCHG1">#REF!</definedName>
    <definedName name="TRNDCHG2" localSheetId="3">#REF!</definedName>
    <definedName name="TRNDCHG2" localSheetId="4">#REF!</definedName>
    <definedName name="TRNDCHG2">#REF!</definedName>
    <definedName name="TrnDmdChg1" localSheetId="3">#REF!</definedName>
    <definedName name="TrnDmdChg1" localSheetId="4">#REF!</definedName>
    <definedName name="TrnDmdChg1">#REF!</definedName>
    <definedName name="TrnDmdChg2" localSheetId="3">#REF!</definedName>
    <definedName name="TrnDmdChg2" localSheetId="4">#REF!</definedName>
    <definedName name="TrnDmdChg2">#REF!</definedName>
    <definedName name="TRNECHG1" localSheetId="3">#REF!</definedName>
    <definedName name="TRNECHG1" localSheetId="4">#REF!</definedName>
    <definedName name="TRNECHG1">#REF!</definedName>
    <definedName name="TRNECHGB1" localSheetId="3">#REF!</definedName>
    <definedName name="TRNECHGB1" localSheetId="4">#REF!</definedName>
    <definedName name="TRNECHGB1">#REF!</definedName>
    <definedName name="TRNECHGB2" localSheetId="3">#REF!</definedName>
    <definedName name="TRNECHGB2" localSheetId="4">#REF!</definedName>
    <definedName name="TRNECHGB2">#REF!</definedName>
    <definedName name="TRNECHGB3" localSheetId="3">#REF!</definedName>
    <definedName name="TRNECHGB3" localSheetId="4">#REF!</definedName>
    <definedName name="TRNECHGB3">#REF!</definedName>
    <definedName name="TrnMEChg" localSheetId="3">#REF!</definedName>
    <definedName name="TrnMEChg" localSheetId="4">#REF!</definedName>
    <definedName name="TrnMEChg">#REF!</definedName>
    <definedName name="TRNMECHG1" localSheetId="3">#REF!</definedName>
    <definedName name="TRNMECHG1" localSheetId="4">#REF!</definedName>
    <definedName name="TRNMECHG1">#REF!</definedName>
    <definedName name="TRNMINDC" localSheetId="3">#REF!</definedName>
    <definedName name="TRNMINDC" localSheetId="4">#REF!</definedName>
    <definedName name="TRNMINDC">#REF!</definedName>
    <definedName name="TrnMinDChg" localSheetId="3">#REF!</definedName>
    <definedName name="TrnMinDChg" localSheetId="4">#REF!</definedName>
    <definedName name="TrnMinDChg">#REF!</definedName>
    <definedName name="TRNMINEC" localSheetId="3">#REF!</definedName>
    <definedName name="TRNMINEC" localSheetId="4">#REF!</definedName>
    <definedName name="TRNMINEC">#REF!</definedName>
    <definedName name="TrnMinEChg" localSheetId="3">#REF!</definedName>
    <definedName name="TrnMinEChg" localSheetId="4">#REF!</definedName>
    <definedName name="TrnMinEChg">#REF!</definedName>
    <definedName name="TrnOffPkKwh" localSheetId="3">#REF!</definedName>
    <definedName name="TrnOffPkKwh" localSheetId="4">#REF!</definedName>
    <definedName name="TrnOffPkKwh">#REF!</definedName>
    <definedName name="TRNOFKWH" localSheetId="3">#REF!</definedName>
    <definedName name="TRNOFKWH" localSheetId="4">#REF!</definedName>
    <definedName name="TRNOFKWH">#REF!</definedName>
    <definedName name="TrnOnPkKwh" localSheetId="3">#REF!</definedName>
    <definedName name="TrnOnPkKwh" localSheetId="4">#REF!</definedName>
    <definedName name="TrnOnPkKwh">#REF!</definedName>
    <definedName name="TRNOPKWH" localSheetId="3">#REF!</definedName>
    <definedName name="TRNOPKWH" localSheetId="4">#REF!</definedName>
    <definedName name="TRNOPKWH">#REF!</definedName>
    <definedName name="TRNP1EC" localSheetId="3">#REF!</definedName>
    <definedName name="TRNP1EC" localSheetId="4">#REF!</definedName>
    <definedName name="TRNP1EC">#REF!</definedName>
    <definedName name="TRNP2EC" localSheetId="3">#REF!</definedName>
    <definedName name="TRNP2EC" localSheetId="4">#REF!</definedName>
    <definedName name="TRNP2EC">#REF!</definedName>
    <definedName name="TRNP3EC" localSheetId="3">#REF!</definedName>
    <definedName name="TRNP3EC" localSheetId="4">#REF!</definedName>
    <definedName name="TRNP3EC">#REF!</definedName>
    <definedName name="TRNP4EC" localSheetId="3">#REF!</definedName>
    <definedName name="TRNP4EC" localSheetId="4">#REF!</definedName>
    <definedName name="TRNP4EC">#REF!</definedName>
    <definedName name="TRNP5EC" localSheetId="3">#REF!</definedName>
    <definedName name="TRNP5EC" localSheetId="4">#REF!</definedName>
    <definedName name="TRNP5EC">#REF!</definedName>
    <definedName name="TrnPL1Chg" localSheetId="3">#REF!</definedName>
    <definedName name="TrnPL1Chg" localSheetId="4">#REF!</definedName>
    <definedName name="TrnPL1Chg">#REF!</definedName>
    <definedName name="TrnPL2Chg" localSheetId="3">#REF!</definedName>
    <definedName name="TrnPL2Chg" localSheetId="4">#REF!</definedName>
    <definedName name="TrnPL2Chg">#REF!</definedName>
    <definedName name="TrnPL3Chg" localSheetId="3">#REF!</definedName>
    <definedName name="TrnPL3Chg" localSheetId="4">#REF!</definedName>
    <definedName name="TrnPL3Chg">#REF!</definedName>
    <definedName name="TrnPL4Chg" localSheetId="3">#REF!</definedName>
    <definedName name="TrnPL4Chg" localSheetId="4">#REF!</definedName>
    <definedName name="TrnPL4Chg">#REF!</definedName>
    <definedName name="TrnPL5Chg" localSheetId="3">#REF!</definedName>
    <definedName name="TrnPL5Chg" localSheetId="4">#REF!</definedName>
    <definedName name="TrnPL5Chg">#REF!</definedName>
    <definedName name="TRNRCHG" localSheetId="3">#REF!</definedName>
    <definedName name="TRNRCHG" localSheetId="4">#REF!</definedName>
    <definedName name="TRNRCHG">#REF!</definedName>
    <definedName name="TrnReactiveChg" localSheetId="3">#REF!</definedName>
    <definedName name="TrnReactiveChg" localSheetId="4">#REF!</definedName>
    <definedName name="TrnReactiveChg">#REF!</definedName>
    <definedName name="TRNSKWTOFPK" localSheetId="3">#REF!</definedName>
    <definedName name="TRNSKWTOFPK" localSheetId="4">#REF!</definedName>
    <definedName name="TRNSKWTOFPK">#REF!</definedName>
    <definedName name="TRNSKWTONPK" localSheetId="3">#REF!</definedName>
    <definedName name="TRNSKWTONPK" localSheetId="4">#REF!</definedName>
    <definedName name="TRNSKWTONPK">#REF!</definedName>
    <definedName name="TRNXOFKVA" localSheetId="3">#REF!</definedName>
    <definedName name="TRNXOFKVA" localSheetId="4">#REF!</definedName>
    <definedName name="TRNXOFKVA">#REF!</definedName>
    <definedName name="TRNXOFKW" localSheetId="3">#REF!</definedName>
    <definedName name="TRNXOFKW" localSheetId="4">#REF!</definedName>
    <definedName name="TRNXOFKW">#REF!</definedName>
    <definedName name="TrnXOfpKvaChg" localSheetId="3">#REF!</definedName>
    <definedName name="TrnXOfpKvaChg" localSheetId="4">#REF!</definedName>
    <definedName name="TrnXOfpKvaChg">#REF!</definedName>
    <definedName name="TrnXOfpKwChg" localSheetId="3">#REF!</definedName>
    <definedName name="TrnXOfpKwChg" localSheetId="4">#REF!</definedName>
    <definedName name="TrnXOfpKwChg">#REF!</definedName>
    <definedName name="TTLBSRATETTL" localSheetId="3">#REF!</definedName>
    <definedName name="TTLBSRATETTL" localSheetId="4">#REF!</definedName>
    <definedName name="TTLBSRATETTL">#REF!</definedName>
    <definedName name="TTLCOGENKWH" localSheetId="3">#REF!</definedName>
    <definedName name="TTLCOGENKWH" localSheetId="4">#REF!</definedName>
    <definedName name="TTLCOGENKWH">#REF!</definedName>
    <definedName name="UNBUNDIND" localSheetId="3">#REF!</definedName>
    <definedName name="UNBUNDIND" localSheetId="4">#REF!</definedName>
    <definedName name="UNBUNDIND">#REF!</definedName>
    <definedName name="YrHistoric">'[3]Formula Rate - Historic'!$O$1</definedName>
    <definedName name="Z_3768C7C8_9953_11DA_B318_000FB55D51DC_.wvu.PrintArea" localSheetId="7" hidden="1">'PSO WS A RB Support '!#REF!</definedName>
    <definedName name="Z_3768C7C8_9953_11DA_B318_000FB55D51DC_.wvu.PrintArea" localSheetId="13" hidden="1">'PSO WS D Working Capital'!$A$8:$N$107</definedName>
    <definedName name="Z_3768C7C8_9953_11DA_B318_000FB55D51DC_.wvu.PrintArea" localSheetId="24" hidden="1">'SWEPCO WS A RB Support '!#REF!</definedName>
    <definedName name="Z_3768C7C8_9953_11DA_B318_000FB55D51DC_.wvu.PrintArea" localSheetId="30" hidden="1">'SWEPCO WS D Working Capital'!$A$8:$N$113</definedName>
    <definedName name="Z_3768C7C8_9953_11DA_B318_000FB55D51DC_.wvu.PrintTitles" localSheetId="7" hidden="1">'PSO WS A RB Support '!#REF!</definedName>
    <definedName name="Z_3768C7C8_9953_11DA_B318_000FB55D51DC_.wvu.PrintTitles" localSheetId="13" hidden="1">'PSO WS D Working Capital'!#REF!</definedName>
    <definedName name="Z_3768C7C8_9953_11DA_B318_000FB55D51DC_.wvu.PrintTitles" localSheetId="24" hidden="1">'SWEPCO WS A RB Support '!#REF!</definedName>
    <definedName name="Z_3768C7C8_9953_11DA_B318_000FB55D51DC_.wvu.PrintTitles" localSheetId="30" hidden="1">'SWEPCO WS D Working Capital'!#REF!</definedName>
    <definedName name="Z_3768C7C8_9953_11DA_B318_000FB55D51DC_.wvu.Rows" localSheetId="7" hidden="1">'PSO WS A RB Support '!#REF!</definedName>
    <definedName name="Z_3768C7C8_9953_11DA_B318_000FB55D51DC_.wvu.Rows" localSheetId="13" hidden="1">'PSO WS D Working Capital'!#REF!</definedName>
    <definedName name="Z_3768C7C8_9953_11DA_B318_000FB55D51DC_.wvu.Rows" localSheetId="24" hidden="1">'SWEPCO WS A RB Support '!#REF!</definedName>
    <definedName name="Z_3768C7C8_9953_11DA_B318_000FB55D51DC_.wvu.Rows" localSheetId="30" hidden="1">'SWEPCO WS D Working Capital'!#REF!</definedName>
    <definedName name="Z_3BDD6235_B127_4929_8311_BDAF7BB89818_.wvu.PrintArea" localSheetId="7" hidden="1">'PSO WS A RB Support '!#REF!</definedName>
    <definedName name="Z_3BDD6235_B127_4929_8311_BDAF7BB89818_.wvu.PrintArea" localSheetId="13" hidden="1">'PSO WS D Working Capital'!$A$8:$N$107</definedName>
    <definedName name="Z_3BDD6235_B127_4929_8311_BDAF7BB89818_.wvu.PrintArea" localSheetId="24" hidden="1">'SWEPCO WS A RB Support '!#REF!</definedName>
    <definedName name="Z_3BDD6235_B127_4929_8311_BDAF7BB89818_.wvu.PrintArea" localSheetId="30" hidden="1">'SWEPCO WS D Working Capital'!$A$8:$N$113</definedName>
    <definedName name="Z_3BDD6235_B127_4929_8311_BDAF7BB89818_.wvu.PrintTitles" localSheetId="7" hidden="1">'PSO WS A RB Support '!#REF!</definedName>
    <definedName name="Z_3BDD6235_B127_4929_8311_BDAF7BB89818_.wvu.PrintTitles" localSheetId="13" hidden="1">'PSO WS D Working Capital'!#REF!</definedName>
    <definedName name="Z_3BDD6235_B127_4929_8311_BDAF7BB89818_.wvu.PrintTitles" localSheetId="24" hidden="1">'SWEPCO WS A RB Support '!#REF!</definedName>
    <definedName name="Z_3BDD6235_B127_4929_8311_BDAF7BB89818_.wvu.PrintTitles" localSheetId="30" hidden="1">'SWEPCO WS D Working Capital'!#REF!</definedName>
    <definedName name="Z_3BDD6235_B127_4929_8311_BDAF7BB89818_.wvu.Rows" localSheetId="7" hidden="1">'PSO WS A RB Support '!#REF!</definedName>
    <definedName name="Z_3BDD6235_B127_4929_8311_BDAF7BB89818_.wvu.Rows" localSheetId="13" hidden="1">'PSO WS D Working Capital'!#REF!</definedName>
    <definedName name="Z_3BDD6235_B127_4929_8311_BDAF7BB89818_.wvu.Rows" localSheetId="24" hidden="1">'SWEPCO WS A RB Support '!#REF!</definedName>
    <definedName name="Z_3BDD6235_B127_4929_8311_BDAF7BB89818_.wvu.Rows" localSheetId="30" hidden="1">'SWEPCO WS D Working Capital'!#REF!</definedName>
    <definedName name="Z_B0241363_5C8A_48FC_89A6_56D55586BABE_.wvu.PrintArea" localSheetId="7" hidden="1">'PSO WS A RB Support '!#REF!</definedName>
    <definedName name="Z_B0241363_5C8A_48FC_89A6_56D55586BABE_.wvu.PrintArea" localSheetId="13" hidden="1">'PSO WS D Working Capital'!$A$8:$N$107</definedName>
    <definedName name="Z_B0241363_5C8A_48FC_89A6_56D55586BABE_.wvu.PrintArea" localSheetId="24" hidden="1">'SWEPCO WS A RB Support '!#REF!</definedName>
    <definedName name="Z_B0241363_5C8A_48FC_89A6_56D55586BABE_.wvu.PrintArea" localSheetId="30" hidden="1">'SWEPCO WS D Working Capital'!$A$8:$N$113</definedName>
    <definedName name="Z_B0241363_5C8A_48FC_89A6_56D55586BABE_.wvu.PrintTitles" localSheetId="7" hidden="1">'PSO WS A RB Support '!#REF!</definedName>
    <definedName name="Z_B0241363_5C8A_48FC_89A6_56D55586BABE_.wvu.PrintTitles" localSheetId="13" hidden="1">'PSO WS D Working Capital'!#REF!</definedName>
    <definedName name="Z_B0241363_5C8A_48FC_89A6_56D55586BABE_.wvu.PrintTitles" localSheetId="24" hidden="1">'SWEPCO WS A RB Support '!#REF!</definedName>
    <definedName name="Z_B0241363_5C8A_48FC_89A6_56D55586BABE_.wvu.PrintTitles" localSheetId="30" hidden="1">'SWEPCO WS D Working Capital'!#REF!</definedName>
    <definedName name="Z_B0241363_5C8A_48FC_89A6_56D55586BABE_.wvu.Rows" localSheetId="7" hidden="1">'PSO WS A RB Support '!#REF!</definedName>
    <definedName name="Z_B0241363_5C8A_48FC_89A6_56D55586BABE_.wvu.Rows" localSheetId="13" hidden="1">'PSO WS D Working Capital'!#REF!</definedName>
    <definedName name="Z_B0241363_5C8A_48FC_89A6_56D55586BABE_.wvu.Rows" localSheetId="24" hidden="1">'SWEPCO WS A RB Support '!#REF!</definedName>
    <definedName name="Z_B0241363_5C8A_48FC_89A6_56D55586BABE_.wvu.Rows" localSheetId="30" hidden="1">'SWEPCO WS D Working Capital'!#REF!</definedName>
    <definedName name="Z_C0EA0F9F_7310_4201_82C9_7B8FC8DB9137_.wvu.PrintArea" localSheetId="7" hidden="1">'PSO WS A RB Support '!#REF!</definedName>
    <definedName name="Z_C0EA0F9F_7310_4201_82C9_7B8FC8DB9137_.wvu.PrintArea" localSheetId="13" hidden="1">'PSO WS D Working Capital'!$A$8:$N$107</definedName>
    <definedName name="Z_C0EA0F9F_7310_4201_82C9_7B8FC8DB9137_.wvu.PrintArea" localSheetId="24" hidden="1">'SWEPCO WS A RB Support '!#REF!</definedName>
    <definedName name="Z_C0EA0F9F_7310_4201_82C9_7B8FC8DB9137_.wvu.PrintArea" localSheetId="30" hidden="1">'SWEPCO WS D Working Capital'!$A$8:$N$113</definedName>
    <definedName name="Z_C0EA0F9F_7310_4201_82C9_7B8FC8DB9137_.wvu.PrintTitles" localSheetId="7" hidden="1">'PSO WS A RB Support '!#REF!</definedName>
    <definedName name="Z_C0EA0F9F_7310_4201_82C9_7B8FC8DB9137_.wvu.PrintTitles" localSheetId="13" hidden="1">'PSO WS D Working Capital'!#REF!</definedName>
    <definedName name="Z_C0EA0F9F_7310_4201_82C9_7B8FC8DB9137_.wvu.PrintTitles" localSheetId="24" hidden="1">'SWEPCO WS A RB Support '!#REF!</definedName>
    <definedName name="Z_C0EA0F9F_7310_4201_82C9_7B8FC8DB9137_.wvu.PrintTitles" localSheetId="30" hidden="1">'SWEPCO WS D Working Capital'!#REF!</definedName>
    <definedName name="Z_C0EA0F9F_7310_4201_82C9_7B8FC8DB9137_.wvu.Rows" localSheetId="7" hidden="1">'PSO WS A RB Support '!#REF!</definedName>
    <definedName name="Z_C0EA0F9F_7310_4201_82C9_7B8FC8DB9137_.wvu.Rows" localSheetId="13" hidden="1">'PSO WS D Working Capital'!#REF!</definedName>
    <definedName name="Z_C0EA0F9F_7310_4201_82C9_7B8FC8DB9137_.wvu.Rows" localSheetId="24" hidden="1">'SWEPCO WS A RB Support '!#REF!</definedName>
    <definedName name="Z_C0EA0F9F_7310_4201_82C9_7B8FC8DB9137_.wvu.Rows" localSheetId="30" hidden="1">'SWEPCO WS D Working Capital'!#REF!</definedName>
    <definedName name="Zip" localSheetId="3">#REF!</definedName>
    <definedName name="Zip" localSheetId="4">#REF!</definedName>
    <definedName name="Zip">#REF!</definedName>
  </definedNames>
  <calcPr calcId="162913"/>
</workbook>
</file>

<file path=xl/calcChain.xml><?xml version="1.0" encoding="utf-8"?>
<calcChain xmlns="http://schemas.openxmlformats.org/spreadsheetml/2006/main">
  <c r="O18" i="129" l="1"/>
  <c r="O19" i="129" s="1"/>
  <c r="N18" i="129"/>
  <c r="N19" i="129" s="1"/>
  <c r="O17" i="129"/>
  <c r="P17" i="129" s="1"/>
  <c r="N17" i="129"/>
  <c r="P18" i="129" l="1"/>
  <c r="P19" i="129" s="1"/>
  <c r="L94" i="176" l="1"/>
  <c r="L71" i="176"/>
  <c r="L72" i="176"/>
  <c r="L73" i="176"/>
  <c r="L74" i="176"/>
  <c r="L75" i="176"/>
  <c r="L76" i="176"/>
  <c r="L77" i="176"/>
  <c r="L78" i="176"/>
  <c r="L79" i="176"/>
  <c r="L80" i="176"/>
  <c r="L81" i="176"/>
  <c r="L82" i="176"/>
  <c r="L83" i="176"/>
  <c r="L84" i="176"/>
  <c r="L85" i="176"/>
  <c r="L86" i="176"/>
  <c r="L87" i="176"/>
  <c r="L88" i="176"/>
  <c r="L89" i="176"/>
  <c r="L90" i="176"/>
  <c r="L91" i="176"/>
  <c r="L92" i="176"/>
  <c r="L93" i="176"/>
  <c r="L70" i="176"/>
  <c r="D39" i="178" l="1"/>
  <c r="I24" i="178"/>
  <c r="G24" i="178"/>
  <c r="I23" i="178"/>
  <c r="G23" i="178"/>
  <c r="B15" i="178"/>
  <c r="B17" i="178" s="1"/>
  <c r="B19" i="178" s="1"/>
  <c r="G13" i="178"/>
  <c r="F5" i="178"/>
  <c r="M31" i="96"/>
  <c r="M31" i="167"/>
  <c r="L16" i="149"/>
  <c r="J16" i="149"/>
  <c r="H16" i="149" s="1"/>
  <c r="L15" i="149"/>
  <c r="J15" i="149"/>
  <c r="H15" i="149" s="1"/>
  <c r="E32" i="172"/>
  <c r="E31" i="172"/>
  <c r="E28" i="172"/>
  <c r="D23" i="172"/>
  <c r="C23" i="172"/>
  <c r="D15" i="172"/>
  <c r="C15" i="172"/>
  <c r="D14" i="172"/>
  <c r="C14" i="172"/>
  <c r="D12" i="172"/>
  <c r="E12" i="172" s="1"/>
  <c r="L224" i="156" s="1"/>
  <c r="C12" i="172"/>
  <c r="E50" i="171"/>
  <c r="K50" i="171" s="1"/>
  <c r="E46" i="171"/>
  <c r="M46" i="171" s="1"/>
  <c r="E45" i="171"/>
  <c r="M45" i="171" s="1"/>
  <c r="E44" i="171"/>
  <c r="M44" i="171"/>
  <c r="E42" i="171"/>
  <c r="K42" i="171" s="1"/>
  <c r="K53" i="171" s="1"/>
  <c r="G160" i="156" s="1"/>
  <c r="E28" i="171"/>
  <c r="I28" i="171" s="1"/>
  <c r="E27" i="171"/>
  <c r="I27" i="171" s="1"/>
  <c r="E26" i="171"/>
  <c r="I26" i="171" s="1"/>
  <c r="E22" i="171"/>
  <c r="E21" i="171"/>
  <c r="G21" i="171" s="1"/>
  <c r="E20" i="171"/>
  <c r="E19" i="171"/>
  <c r="G19" i="171" s="1"/>
  <c r="E15" i="171"/>
  <c r="M15" i="171" s="1"/>
  <c r="E25" i="170"/>
  <c r="F26" i="170" s="1"/>
  <c r="E24" i="170"/>
  <c r="E21" i="170"/>
  <c r="E20" i="170"/>
  <c r="E17" i="170"/>
  <c r="E16" i="170"/>
  <c r="F18" i="170" s="1"/>
  <c r="E13" i="170"/>
  <c r="E12" i="170"/>
  <c r="E9" i="170"/>
  <c r="E8" i="170"/>
  <c r="D43" i="169"/>
  <c r="D33" i="169"/>
  <c r="D40" i="169" s="1"/>
  <c r="G135" i="156" s="1"/>
  <c r="D14" i="169"/>
  <c r="M42" i="167"/>
  <c r="M41" i="167"/>
  <c r="M34" i="167"/>
  <c r="M27" i="167"/>
  <c r="M28" i="167" s="1"/>
  <c r="M26" i="167"/>
  <c r="M19" i="167"/>
  <c r="M18" i="167"/>
  <c r="M17" i="167"/>
  <c r="M16" i="167"/>
  <c r="M21" i="167" s="1"/>
  <c r="M13" i="167"/>
  <c r="M11" i="167"/>
  <c r="K27" i="167"/>
  <c r="K26" i="167"/>
  <c r="K19" i="167"/>
  <c r="L19" i="167" s="1"/>
  <c r="K18" i="167"/>
  <c r="K17" i="167"/>
  <c r="K16" i="167"/>
  <c r="L16" i="167" s="1"/>
  <c r="K13" i="167"/>
  <c r="K11" i="167"/>
  <c r="L11" i="167" s="1"/>
  <c r="C13" i="164"/>
  <c r="C9" i="164"/>
  <c r="F99" i="157"/>
  <c r="E99" i="157"/>
  <c r="F86" i="157"/>
  <c r="E86" i="157"/>
  <c r="G86" i="157" s="1"/>
  <c r="F85" i="157"/>
  <c r="E85" i="157"/>
  <c r="F80" i="157"/>
  <c r="F93" i="157" s="1"/>
  <c r="E80" i="157"/>
  <c r="F79" i="157"/>
  <c r="E79" i="157"/>
  <c r="F71" i="157"/>
  <c r="E71" i="157"/>
  <c r="F69" i="157"/>
  <c r="E69" i="157"/>
  <c r="F67" i="157"/>
  <c r="E67" i="157"/>
  <c r="F63" i="157"/>
  <c r="E63" i="157"/>
  <c r="F55" i="157"/>
  <c r="E55" i="157"/>
  <c r="F51" i="157"/>
  <c r="F53" i="157" s="1"/>
  <c r="E51" i="157"/>
  <c r="F47" i="157"/>
  <c r="F49" i="157" s="1"/>
  <c r="E47" i="157"/>
  <c r="F39" i="157"/>
  <c r="E39" i="157"/>
  <c r="G39" i="157" s="1"/>
  <c r="G61" i="156" s="1"/>
  <c r="F37" i="157"/>
  <c r="E37" i="157"/>
  <c r="G37" i="157" s="1"/>
  <c r="G60" i="156" s="1"/>
  <c r="F35" i="157"/>
  <c r="E35" i="157"/>
  <c r="F31" i="157"/>
  <c r="G31" i="157" s="1"/>
  <c r="G57" i="156" s="1"/>
  <c r="L57" i="156" s="1"/>
  <c r="E31" i="157"/>
  <c r="F23" i="157"/>
  <c r="E23" i="157"/>
  <c r="E25" i="157" s="1"/>
  <c r="F19" i="157"/>
  <c r="E19" i="157"/>
  <c r="E21" i="157" s="1"/>
  <c r="F15" i="157"/>
  <c r="F17" i="157" s="1"/>
  <c r="E15" i="157"/>
  <c r="G214" i="86"/>
  <c r="L214" i="86" s="1"/>
  <c r="G213" i="86"/>
  <c r="G212" i="86"/>
  <c r="G211" i="86"/>
  <c r="G210" i="86"/>
  <c r="F214" i="86"/>
  <c r="F213" i="86"/>
  <c r="H213" i="86" s="1"/>
  <c r="F212" i="86"/>
  <c r="F211" i="86"/>
  <c r="F210" i="86"/>
  <c r="G214" i="156"/>
  <c r="G213" i="156"/>
  <c r="G212" i="156"/>
  <c r="G211" i="156"/>
  <c r="G210" i="156"/>
  <c r="F214" i="156"/>
  <c r="F213" i="156"/>
  <c r="L213" i="156" s="1"/>
  <c r="F212" i="156"/>
  <c r="F211" i="156"/>
  <c r="F210" i="156"/>
  <c r="L171" i="156"/>
  <c r="L170" i="156"/>
  <c r="G171" i="156"/>
  <c r="G170" i="156"/>
  <c r="G169" i="156"/>
  <c r="G151" i="156"/>
  <c r="G150" i="156"/>
  <c r="G147" i="156"/>
  <c r="G149" i="156" s="1"/>
  <c r="G133" i="156"/>
  <c r="G138" i="156" s="1"/>
  <c r="G132" i="156"/>
  <c r="G128" i="156"/>
  <c r="G127" i="156"/>
  <c r="L14" i="149"/>
  <c r="L17" i="149" s="1"/>
  <c r="L21" i="149" s="1"/>
  <c r="G125" i="156"/>
  <c r="E32" i="95"/>
  <c r="E31" i="95"/>
  <c r="E28" i="95"/>
  <c r="D23" i="95"/>
  <c r="D25" i="95" s="1"/>
  <c r="C23" i="95"/>
  <c r="C25" i="95" s="1"/>
  <c r="D15" i="95"/>
  <c r="C15" i="95"/>
  <c r="C16" i="95" s="1"/>
  <c r="D12" i="95"/>
  <c r="D16" i="95" s="1"/>
  <c r="C12" i="95"/>
  <c r="E40" i="78"/>
  <c r="K40" i="78" s="1"/>
  <c r="K53" i="78" s="1"/>
  <c r="G160" i="86" s="1"/>
  <c r="E39" i="78"/>
  <c r="K39" i="78"/>
  <c r="E28" i="78"/>
  <c r="I28" i="78" s="1"/>
  <c r="E27" i="78"/>
  <c r="I27" i="78" s="1"/>
  <c r="E26" i="78"/>
  <c r="I26" i="78" s="1"/>
  <c r="E20" i="78"/>
  <c r="E19" i="78"/>
  <c r="G19" i="78" s="1"/>
  <c r="E9" i="94"/>
  <c r="F10" i="94" s="1"/>
  <c r="F28" i="94" s="1"/>
  <c r="F296" i="86" s="1"/>
  <c r="G164" i="86" s="1"/>
  <c r="E8" i="94"/>
  <c r="D43" i="39"/>
  <c r="D33" i="39"/>
  <c r="E33" i="39" s="1"/>
  <c r="E40" i="39" s="1"/>
  <c r="D14" i="39"/>
  <c r="M42" i="96"/>
  <c r="M41" i="96"/>
  <c r="M38" i="96"/>
  <c r="M26" i="96"/>
  <c r="M28" i="96" s="1"/>
  <c r="M18" i="96"/>
  <c r="M17" i="96"/>
  <c r="M16" i="96"/>
  <c r="M13" i="96"/>
  <c r="M11" i="96"/>
  <c r="K27" i="96"/>
  <c r="K26" i="96"/>
  <c r="K19" i="96"/>
  <c r="L19" i="96" s="1"/>
  <c r="K18" i="96"/>
  <c r="K17" i="96"/>
  <c r="K16" i="96"/>
  <c r="K13" i="96"/>
  <c r="K11" i="96"/>
  <c r="C9" i="52"/>
  <c r="C19" i="52" s="1"/>
  <c r="F99" i="71"/>
  <c r="E99" i="71"/>
  <c r="E86" i="71"/>
  <c r="F86" i="71"/>
  <c r="F85" i="71"/>
  <c r="E85" i="71"/>
  <c r="E87" i="71" s="1"/>
  <c r="F80" i="71"/>
  <c r="F93" i="71" s="1"/>
  <c r="E80" i="71"/>
  <c r="E93" i="71" s="1"/>
  <c r="F79" i="71"/>
  <c r="E79" i="71"/>
  <c r="F71" i="71"/>
  <c r="E71" i="71"/>
  <c r="G71" i="71" s="1"/>
  <c r="G73" i="86" s="1"/>
  <c r="F67" i="71"/>
  <c r="E67" i="71"/>
  <c r="F63" i="71"/>
  <c r="G63" i="71" s="1"/>
  <c r="G69" i="86" s="1"/>
  <c r="E63" i="71"/>
  <c r="F55" i="71"/>
  <c r="E55" i="71"/>
  <c r="E57" i="71" s="1"/>
  <c r="F51" i="71"/>
  <c r="E51" i="71"/>
  <c r="E53" i="71" s="1"/>
  <c r="E75" i="71" s="1"/>
  <c r="F47" i="71"/>
  <c r="E47" i="71"/>
  <c r="E49" i="71" s="1"/>
  <c r="F37" i="71"/>
  <c r="G37" i="71" s="1"/>
  <c r="G60" i="86" s="1"/>
  <c r="E37" i="71"/>
  <c r="F39" i="71"/>
  <c r="E39" i="71"/>
  <c r="F35" i="71"/>
  <c r="E35" i="71"/>
  <c r="F31" i="71"/>
  <c r="E31" i="71"/>
  <c r="F23" i="71"/>
  <c r="F25" i="71" s="1"/>
  <c r="E23" i="71"/>
  <c r="E25" i="71" s="1"/>
  <c r="F19" i="71"/>
  <c r="E19" i="71"/>
  <c r="F15" i="71"/>
  <c r="E15" i="71"/>
  <c r="E17" i="71" s="1"/>
  <c r="L171" i="86"/>
  <c r="L170" i="86"/>
  <c r="G171" i="86"/>
  <c r="G170" i="86"/>
  <c r="G169" i="86"/>
  <c r="G151" i="86"/>
  <c r="G150" i="86"/>
  <c r="G147" i="86"/>
  <c r="G149" i="86" s="1"/>
  <c r="F84" i="129" s="1"/>
  <c r="R36" i="129" s="1"/>
  <c r="G133" i="86"/>
  <c r="G132" i="86"/>
  <c r="G128" i="86"/>
  <c r="G127" i="86"/>
  <c r="J14" i="149" s="1"/>
  <c r="G125" i="86"/>
  <c r="N94" i="139"/>
  <c r="M94" i="139"/>
  <c r="L94" i="139"/>
  <c r="K94" i="139"/>
  <c r="J94" i="139"/>
  <c r="N93" i="90"/>
  <c r="M93" i="90"/>
  <c r="L93" i="90"/>
  <c r="K93" i="90"/>
  <c r="J93" i="90"/>
  <c r="N110" i="160"/>
  <c r="M110" i="160"/>
  <c r="L110" i="160"/>
  <c r="K110" i="160"/>
  <c r="J110" i="160"/>
  <c r="N109" i="160"/>
  <c r="M109" i="160"/>
  <c r="L109" i="160"/>
  <c r="K109" i="160"/>
  <c r="J109" i="160"/>
  <c r="N108" i="160"/>
  <c r="M108" i="160"/>
  <c r="L108" i="160"/>
  <c r="K108" i="160"/>
  <c r="J108" i="160"/>
  <c r="N107" i="160"/>
  <c r="M107" i="160"/>
  <c r="L107" i="160"/>
  <c r="K107" i="160"/>
  <c r="J107" i="160"/>
  <c r="N106" i="160"/>
  <c r="M106" i="160"/>
  <c r="L106" i="160"/>
  <c r="K106" i="160"/>
  <c r="J106" i="160"/>
  <c r="N105" i="160"/>
  <c r="M105" i="160"/>
  <c r="L105" i="160"/>
  <c r="K105" i="160"/>
  <c r="J105" i="160"/>
  <c r="N104" i="160"/>
  <c r="M104" i="160"/>
  <c r="L104" i="160"/>
  <c r="K104" i="160"/>
  <c r="J104" i="160"/>
  <c r="N103" i="160"/>
  <c r="M103" i="160"/>
  <c r="L103" i="160"/>
  <c r="K103" i="160"/>
  <c r="J103" i="160"/>
  <c r="N102" i="160"/>
  <c r="M102" i="160"/>
  <c r="L102" i="160"/>
  <c r="K102" i="160"/>
  <c r="J102" i="160"/>
  <c r="N101" i="160"/>
  <c r="M101" i="160"/>
  <c r="L101" i="160"/>
  <c r="K101" i="160"/>
  <c r="J101" i="160"/>
  <c r="N100" i="160"/>
  <c r="M100" i="160"/>
  <c r="L100" i="160"/>
  <c r="K100" i="160"/>
  <c r="J100" i="160"/>
  <c r="N99" i="160"/>
  <c r="M99" i="160"/>
  <c r="L99" i="160"/>
  <c r="K99" i="160"/>
  <c r="J99" i="160"/>
  <c r="N98" i="160"/>
  <c r="M98" i="160"/>
  <c r="L98" i="160"/>
  <c r="K98" i="160"/>
  <c r="J98" i="160"/>
  <c r="N97" i="160"/>
  <c r="M97" i="160"/>
  <c r="L97" i="160"/>
  <c r="K97" i="160"/>
  <c r="J97" i="160"/>
  <c r="N96" i="160"/>
  <c r="M96" i="160"/>
  <c r="L96" i="160"/>
  <c r="K96" i="160"/>
  <c r="J96" i="160"/>
  <c r="N95" i="160"/>
  <c r="M95" i="160"/>
  <c r="L95" i="160"/>
  <c r="K95" i="160"/>
  <c r="J95" i="160"/>
  <c r="N94" i="160"/>
  <c r="M94" i="160"/>
  <c r="L94" i="160"/>
  <c r="K94" i="160"/>
  <c r="J94" i="160"/>
  <c r="N93" i="160"/>
  <c r="M93" i="160"/>
  <c r="L93" i="160"/>
  <c r="K93" i="160"/>
  <c r="J93" i="160"/>
  <c r="N92" i="160"/>
  <c r="M92" i="160"/>
  <c r="L92" i="160"/>
  <c r="K92" i="160"/>
  <c r="J92" i="160"/>
  <c r="N91" i="160"/>
  <c r="M91" i="160"/>
  <c r="L91" i="160"/>
  <c r="K91" i="160"/>
  <c r="J91" i="160"/>
  <c r="N90" i="160"/>
  <c r="M90" i="160"/>
  <c r="L90" i="160"/>
  <c r="K90" i="160"/>
  <c r="J90" i="160"/>
  <c r="N89" i="160"/>
  <c r="M89" i="160"/>
  <c r="L89" i="160"/>
  <c r="K89" i="160"/>
  <c r="J89" i="160"/>
  <c r="N88" i="160"/>
  <c r="M88" i="160"/>
  <c r="L88" i="160"/>
  <c r="K88" i="160"/>
  <c r="J88" i="160"/>
  <c r="N87" i="160"/>
  <c r="M87" i="160"/>
  <c r="L87" i="160"/>
  <c r="K87" i="160"/>
  <c r="J87" i="160"/>
  <c r="N86" i="160"/>
  <c r="M86" i="160"/>
  <c r="L86" i="160"/>
  <c r="K86" i="160"/>
  <c r="J86" i="160"/>
  <c r="N85" i="160"/>
  <c r="M85" i="160"/>
  <c r="L85" i="160"/>
  <c r="K85" i="160"/>
  <c r="J85" i="160"/>
  <c r="N84" i="160"/>
  <c r="M84" i="160"/>
  <c r="L84" i="160"/>
  <c r="K84" i="160"/>
  <c r="J84" i="160"/>
  <c r="N83" i="160"/>
  <c r="M83" i="160"/>
  <c r="L83" i="160"/>
  <c r="K83" i="160"/>
  <c r="J83" i="160"/>
  <c r="N82" i="160"/>
  <c r="M82" i="160"/>
  <c r="L82" i="160"/>
  <c r="K82" i="160"/>
  <c r="J82" i="160"/>
  <c r="N81" i="160"/>
  <c r="M81" i="160"/>
  <c r="L81" i="160"/>
  <c r="K81" i="160"/>
  <c r="J81" i="160"/>
  <c r="N80" i="160"/>
  <c r="M80" i="160"/>
  <c r="L80" i="160"/>
  <c r="K80" i="160"/>
  <c r="J80" i="160"/>
  <c r="N79" i="160"/>
  <c r="M79" i="160"/>
  <c r="L79" i="160"/>
  <c r="K79" i="160"/>
  <c r="J79" i="160"/>
  <c r="N78" i="160"/>
  <c r="M78" i="160"/>
  <c r="L78" i="160"/>
  <c r="K78" i="160"/>
  <c r="J78" i="160"/>
  <c r="N77" i="160"/>
  <c r="M77" i="160"/>
  <c r="L77" i="160"/>
  <c r="K77" i="160"/>
  <c r="J77" i="160"/>
  <c r="N76" i="160"/>
  <c r="M76" i="160"/>
  <c r="L76" i="160"/>
  <c r="K76" i="160"/>
  <c r="J76" i="160"/>
  <c r="N75" i="160"/>
  <c r="M75" i="160"/>
  <c r="L75" i="160"/>
  <c r="K75" i="160"/>
  <c r="J75" i="160"/>
  <c r="N74" i="160"/>
  <c r="M74" i="160"/>
  <c r="L74" i="160"/>
  <c r="K74" i="160"/>
  <c r="J74" i="160"/>
  <c r="N73" i="160"/>
  <c r="M73" i="160"/>
  <c r="L73" i="160"/>
  <c r="K73" i="160"/>
  <c r="J73" i="160"/>
  <c r="N72" i="160"/>
  <c r="M72" i="160"/>
  <c r="L72" i="160"/>
  <c r="K72" i="160"/>
  <c r="J72" i="160"/>
  <c r="N71" i="160"/>
  <c r="M71" i="160"/>
  <c r="L71" i="160"/>
  <c r="K71" i="160"/>
  <c r="J71" i="160"/>
  <c r="N70" i="160"/>
  <c r="M70" i="160"/>
  <c r="L70" i="160"/>
  <c r="K70" i="160"/>
  <c r="J70" i="160"/>
  <c r="N69" i="160"/>
  <c r="M69" i="160"/>
  <c r="L69" i="160"/>
  <c r="K69" i="160"/>
  <c r="J69" i="160"/>
  <c r="N68" i="160"/>
  <c r="M68" i="160"/>
  <c r="L68" i="160"/>
  <c r="K68" i="160"/>
  <c r="J68" i="160"/>
  <c r="N67" i="160"/>
  <c r="M67" i="160"/>
  <c r="L67" i="160"/>
  <c r="K67" i="160"/>
  <c r="J67" i="160"/>
  <c r="N66" i="160"/>
  <c r="M66" i="160"/>
  <c r="L66" i="160"/>
  <c r="K66" i="160"/>
  <c r="J66" i="160"/>
  <c r="N65" i="160"/>
  <c r="M65" i="160"/>
  <c r="L65" i="160"/>
  <c r="K65" i="160"/>
  <c r="J65" i="160"/>
  <c r="N64" i="160"/>
  <c r="M64" i="160"/>
  <c r="L64" i="160"/>
  <c r="K64" i="160"/>
  <c r="J64" i="160"/>
  <c r="N63" i="160"/>
  <c r="M63" i="160"/>
  <c r="L63" i="160"/>
  <c r="K63" i="160"/>
  <c r="J63" i="160"/>
  <c r="N62" i="160"/>
  <c r="M62" i="160"/>
  <c r="L62" i="160"/>
  <c r="K62" i="160"/>
  <c r="J62" i="160"/>
  <c r="N61" i="160"/>
  <c r="M61" i="160"/>
  <c r="L61" i="160"/>
  <c r="K61" i="160"/>
  <c r="J61" i="160"/>
  <c r="N60" i="160"/>
  <c r="M60" i="160"/>
  <c r="L60" i="160"/>
  <c r="K60" i="160"/>
  <c r="J60" i="160"/>
  <c r="N59" i="160"/>
  <c r="M59" i="160"/>
  <c r="L59" i="160"/>
  <c r="K59" i="160"/>
  <c r="J59" i="160"/>
  <c r="N58" i="160"/>
  <c r="M58" i="160"/>
  <c r="L58" i="160"/>
  <c r="K58" i="160"/>
  <c r="J58" i="160"/>
  <c r="N57" i="160"/>
  <c r="M57" i="160"/>
  <c r="L57" i="160"/>
  <c r="K57" i="160"/>
  <c r="J57" i="160"/>
  <c r="J56" i="160"/>
  <c r="N108" i="161"/>
  <c r="M108" i="161"/>
  <c r="L108" i="161"/>
  <c r="K108" i="161"/>
  <c r="J108" i="161"/>
  <c r="N107" i="161"/>
  <c r="M107" i="161"/>
  <c r="L107" i="161"/>
  <c r="K107" i="161"/>
  <c r="J107" i="161"/>
  <c r="N106" i="161"/>
  <c r="M106" i="161"/>
  <c r="L106" i="161"/>
  <c r="K106" i="161"/>
  <c r="J106" i="161"/>
  <c r="N105" i="161"/>
  <c r="M105" i="161"/>
  <c r="L105" i="161"/>
  <c r="K105" i="161"/>
  <c r="J105" i="161"/>
  <c r="N104" i="161"/>
  <c r="M104" i="161"/>
  <c r="L104" i="161"/>
  <c r="K104" i="161"/>
  <c r="J104" i="161"/>
  <c r="N103" i="161"/>
  <c r="M103" i="161"/>
  <c r="L103" i="161"/>
  <c r="K103" i="161"/>
  <c r="J103" i="161"/>
  <c r="N102" i="161"/>
  <c r="M102" i="161"/>
  <c r="L102" i="161"/>
  <c r="K102" i="161"/>
  <c r="J102" i="161"/>
  <c r="N101" i="161"/>
  <c r="M101" i="161"/>
  <c r="L101" i="161"/>
  <c r="K101" i="161"/>
  <c r="J101" i="161"/>
  <c r="N100" i="161"/>
  <c r="M100" i="161"/>
  <c r="L100" i="161"/>
  <c r="K100" i="161"/>
  <c r="J100" i="161"/>
  <c r="N99" i="161"/>
  <c r="M99" i="161"/>
  <c r="L99" i="161"/>
  <c r="K99" i="161"/>
  <c r="J99" i="161"/>
  <c r="N98" i="161"/>
  <c r="M98" i="161"/>
  <c r="L98" i="161"/>
  <c r="K98" i="161"/>
  <c r="J98" i="161"/>
  <c r="N97" i="161"/>
  <c r="M97" i="161"/>
  <c r="L97" i="161"/>
  <c r="K97" i="161"/>
  <c r="J97" i="161"/>
  <c r="N96" i="161"/>
  <c r="M96" i="161"/>
  <c r="L96" i="161"/>
  <c r="K96" i="161"/>
  <c r="J96" i="161"/>
  <c r="N95" i="161"/>
  <c r="M95" i="161"/>
  <c r="L95" i="161"/>
  <c r="K95" i="161"/>
  <c r="J95" i="161"/>
  <c r="N94" i="161"/>
  <c r="M94" i="161"/>
  <c r="L94" i="161"/>
  <c r="K94" i="161"/>
  <c r="J94" i="161"/>
  <c r="N93" i="161"/>
  <c r="M93" i="161"/>
  <c r="L93" i="161"/>
  <c r="K93" i="161"/>
  <c r="J93" i="161"/>
  <c r="N92" i="161"/>
  <c r="M92" i="161"/>
  <c r="L92" i="161"/>
  <c r="K92" i="161"/>
  <c r="J92" i="161"/>
  <c r="N91" i="161"/>
  <c r="M91" i="161"/>
  <c r="L91" i="161"/>
  <c r="K91" i="161"/>
  <c r="J91" i="161"/>
  <c r="N90" i="161"/>
  <c r="M90" i="161"/>
  <c r="L90" i="161"/>
  <c r="K90" i="161"/>
  <c r="J90" i="161"/>
  <c r="N89" i="161"/>
  <c r="M89" i="161"/>
  <c r="L89" i="161"/>
  <c r="K89" i="161"/>
  <c r="J89" i="161"/>
  <c r="N88" i="161"/>
  <c r="M88" i="161"/>
  <c r="L88" i="161"/>
  <c r="K88" i="161"/>
  <c r="J88" i="161"/>
  <c r="N87" i="161"/>
  <c r="M87" i="161"/>
  <c r="L87" i="161"/>
  <c r="K87" i="161"/>
  <c r="J87" i="161"/>
  <c r="N86" i="161"/>
  <c r="M86" i="161"/>
  <c r="L86" i="161"/>
  <c r="K86" i="161"/>
  <c r="J86" i="161"/>
  <c r="N85" i="161"/>
  <c r="M85" i="161"/>
  <c r="L85" i="161"/>
  <c r="K85" i="161"/>
  <c r="J85" i="161"/>
  <c r="N84" i="161"/>
  <c r="M84" i="161"/>
  <c r="L84" i="161"/>
  <c r="K84" i="161"/>
  <c r="J84" i="161"/>
  <c r="N83" i="161"/>
  <c r="M83" i="161"/>
  <c r="L83" i="161"/>
  <c r="K83" i="161"/>
  <c r="J83" i="161"/>
  <c r="N82" i="161"/>
  <c r="M82" i="161"/>
  <c r="L82" i="161"/>
  <c r="K82" i="161"/>
  <c r="J82" i="161"/>
  <c r="N81" i="161"/>
  <c r="M81" i="161"/>
  <c r="L81" i="161"/>
  <c r="K81" i="161"/>
  <c r="J81" i="161"/>
  <c r="N80" i="161"/>
  <c r="M80" i="161"/>
  <c r="L80" i="161"/>
  <c r="K80" i="161"/>
  <c r="J80" i="161"/>
  <c r="N79" i="161"/>
  <c r="M79" i="161"/>
  <c r="L79" i="161"/>
  <c r="K79" i="161"/>
  <c r="J79" i="161"/>
  <c r="N78" i="161"/>
  <c r="M78" i="161"/>
  <c r="L78" i="161"/>
  <c r="K78" i="161"/>
  <c r="J78" i="161"/>
  <c r="N77" i="161"/>
  <c r="M77" i="161"/>
  <c r="L77" i="161"/>
  <c r="K77" i="161"/>
  <c r="J77" i="161"/>
  <c r="N76" i="161"/>
  <c r="M76" i="161"/>
  <c r="L76" i="161"/>
  <c r="K76" i="161"/>
  <c r="J76" i="161"/>
  <c r="N75" i="161"/>
  <c r="M75" i="161"/>
  <c r="L75" i="161"/>
  <c r="K75" i="161"/>
  <c r="J75" i="161"/>
  <c r="N74" i="161"/>
  <c r="M74" i="161"/>
  <c r="L74" i="161"/>
  <c r="K74" i="161"/>
  <c r="J74" i="161"/>
  <c r="N73" i="161"/>
  <c r="M73" i="161"/>
  <c r="L73" i="161"/>
  <c r="K73" i="161"/>
  <c r="J73" i="161"/>
  <c r="N72" i="161"/>
  <c r="M72" i="161"/>
  <c r="L72" i="161"/>
  <c r="K72" i="161"/>
  <c r="J72" i="161"/>
  <c r="N71" i="161"/>
  <c r="M71" i="161"/>
  <c r="L71" i="161"/>
  <c r="K71" i="161"/>
  <c r="J71" i="161"/>
  <c r="N70" i="161"/>
  <c r="M70" i="161"/>
  <c r="L70" i="161"/>
  <c r="K70" i="161"/>
  <c r="J70" i="161"/>
  <c r="N69" i="161"/>
  <c r="M69" i="161"/>
  <c r="L69" i="161"/>
  <c r="K69" i="161"/>
  <c r="J69" i="161"/>
  <c r="N68" i="161"/>
  <c r="M68" i="161"/>
  <c r="L68" i="161"/>
  <c r="K68" i="161"/>
  <c r="J68" i="161"/>
  <c r="N67" i="161"/>
  <c r="M67" i="161"/>
  <c r="L67" i="161"/>
  <c r="K67" i="161"/>
  <c r="J67" i="161"/>
  <c r="N66" i="161"/>
  <c r="M66" i="161"/>
  <c r="L66" i="161"/>
  <c r="K66" i="161"/>
  <c r="J66" i="161"/>
  <c r="N65" i="161"/>
  <c r="M65" i="161"/>
  <c r="L65" i="161"/>
  <c r="K65" i="161"/>
  <c r="J65" i="161"/>
  <c r="N64" i="161"/>
  <c r="M64" i="161"/>
  <c r="L64" i="161"/>
  <c r="K64" i="161"/>
  <c r="J64" i="161"/>
  <c r="N63" i="161"/>
  <c r="M63" i="161"/>
  <c r="L63" i="161"/>
  <c r="K63" i="161"/>
  <c r="J63" i="161"/>
  <c r="N62" i="161"/>
  <c r="M62" i="161"/>
  <c r="L62" i="161"/>
  <c r="K62" i="161"/>
  <c r="J62" i="161"/>
  <c r="N61" i="161"/>
  <c r="M61" i="161"/>
  <c r="L61" i="161"/>
  <c r="K61" i="161"/>
  <c r="J61" i="161"/>
  <c r="N60" i="161"/>
  <c r="M60" i="161"/>
  <c r="L60" i="161"/>
  <c r="K60" i="161"/>
  <c r="J60" i="161"/>
  <c r="N59" i="161"/>
  <c r="M59" i="161"/>
  <c r="L59" i="161"/>
  <c r="K59" i="161"/>
  <c r="J59" i="161"/>
  <c r="N58" i="161"/>
  <c r="M58" i="161"/>
  <c r="L58" i="161"/>
  <c r="K58" i="161"/>
  <c r="J58" i="161"/>
  <c r="N57" i="161"/>
  <c r="M57" i="161"/>
  <c r="L57" i="161"/>
  <c r="K57" i="161"/>
  <c r="J57" i="161"/>
  <c r="N56" i="161"/>
  <c r="M56" i="161"/>
  <c r="L56" i="161"/>
  <c r="K56" i="161"/>
  <c r="J56" i="161"/>
  <c r="N55" i="161"/>
  <c r="M55" i="161"/>
  <c r="L55" i="161"/>
  <c r="K55" i="161"/>
  <c r="J55" i="161"/>
  <c r="H112" i="161"/>
  <c r="D32" i="159" s="1"/>
  <c r="N191" i="160"/>
  <c r="M191" i="160"/>
  <c r="L191" i="160"/>
  <c r="K191" i="160"/>
  <c r="J191" i="160"/>
  <c r="N190" i="160"/>
  <c r="M190" i="160"/>
  <c r="L190" i="160"/>
  <c r="K190" i="160"/>
  <c r="J190" i="160"/>
  <c r="N189" i="160"/>
  <c r="M189" i="160"/>
  <c r="L189" i="160"/>
  <c r="K189" i="160"/>
  <c r="J189" i="160"/>
  <c r="N188" i="160"/>
  <c r="M188" i="160"/>
  <c r="L188" i="160"/>
  <c r="K188" i="160"/>
  <c r="J188" i="160"/>
  <c r="N187" i="160"/>
  <c r="M187" i="160"/>
  <c r="L187" i="160"/>
  <c r="K187" i="160"/>
  <c r="J187" i="160"/>
  <c r="N186" i="160"/>
  <c r="M186" i="160"/>
  <c r="L186" i="160"/>
  <c r="K186" i="160"/>
  <c r="J186" i="160"/>
  <c r="N185" i="160"/>
  <c r="M185" i="160"/>
  <c r="L185" i="160"/>
  <c r="K185" i="160"/>
  <c r="J185" i="160"/>
  <c r="N184" i="160"/>
  <c r="M184" i="160"/>
  <c r="L184" i="160"/>
  <c r="K184" i="160"/>
  <c r="J184" i="160"/>
  <c r="N183" i="160"/>
  <c r="M183" i="160"/>
  <c r="L183" i="160"/>
  <c r="K183" i="160"/>
  <c r="J183" i="160"/>
  <c r="N182" i="160"/>
  <c r="M182" i="160"/>
  <c r="L182" i="160"/>
  <c r="K182" i="160"/>
  <c r="J182" i="160"/>
  <c r="N181" i="160"/>
  <c r="M181" i="160"/>
  <c r="L181" i="160"/>
  <c r="K181" i="160"/>
  <c r="J181" i="160"/>
  <c r="N180" i="160"/>
  <c r="M180" i="160"/>
  <c r="L180" i="160"/>
  <c r="K180" i="160"/>
  <c r="J180" i="160"/>
  <c r="N179" i="160"/>
  <c r="M179" i="160"/>
  <c r="L179" i="160"/>
  <c r="K179" i="160"/>
  <c r="J179" i="160"/>
  <c r="N178" i="160"/>
  <c r="M178" i="160"/>
  <c r="L178" i="160"/>
  <c r="K178" i="160"/>
  <c r="J178" i="160"/>
  <c r="N177" i="160"/>
  <c r="M177" i="160"/>
  <c r="L177" i="160"/>
  <c r="K177" i="160"/>
  <c r="J177" i="160"/>
  <c r="N176" i="160"/>
  <c r="M176" i="160"/>
  <c r="L176" i="160"/>
  <c r="K176" i="160"/>
  <c r="J176" i="160"/>
  <c r="N175" i="160"/>
  <c r="M175" i="160"/>
  <c r="L175" i="160"/>
  <c r="K175" i="160"/>
  <c r="J175" i="160"/>
  <c r="N174" i="160"/>
  <c r="M174" i="160"/>
  <c r="L174" i="160"/>
  <c r="K174" i="160"/>
  <c r="J174" i="160"/>
  <c r="N173" i="160"/>
  <c r="M173" i="160"/>
  <c r="L173" i="160"/>
  <c r="K173" i="160"/>
  <c r="J173" i="160"/>
  <c r="N172" i="160"/>
  <c r="M172" i="160"/>
  <c r="L172" i="160"/>
  <c r="K172" i="160"/>
  <c r="J172" i="160"/>
  <c r="N171" i="160"/>
  <c r="M171" i="160"/>
  <c r="L171" i="160"/>
  <c r="K171" i="160"/>
  <c r="J171" i="160"/>
  <c r="N170" i="160"/>
  <c r="M170" i="160"/>
  <c r="L170" i="160"/>
  <c r="K170" i="160"/>
  <c r="J170" i="160"/>
  <c r="N169" i="160"/>
  <c r="M169" i="160"/>
  <c r="L169" i="160"/>
  <c r="K169" i="160"/>
  <c r="J169" i="160"/>
  <c r="N168" i="160"/>
  <c r="M168" i="160"/>
  <c r="L168" i="160"/>
  <c r="K168" i="160"/>
  <c r="J168" i="160"/>
  <c r="N167" i="160"/>
  <c r="M167" i="160"/>
  <c r="L167" i="160"/>
  <c r="K167" i="160"/>
  <c r="J167" i="160"/>
  <c r="N166" i="160"/>
  <c r="M166" i="160"/>
  <c r="L166" i="160"/>
  <c r="K166" i="160"/>
  <c r="J166" i="160"/>
  <c r="N165" i="160"/>
  <c r="M165" i="160"/>
  <c r="L165" i="160"/>
  <c r="K165" i="160"/>
  <c r="J165" i="160"/>
  <c r="N164" i="160"/>
  <c r="M164" i="160"/>
  <c r="L164" i="160"/>
  <c r="K164" i="160"/>
  <c r="J164" i="160"/>
  <c r="N163" i="160"/>
  <c r="M163" i="160"/>
  <c r="L163" i="160"/>
  <c r="K163" i="160"/>
  <c r="J163" i="160"/>
  <c r="N162" i="160"/>
  <c r="M162" i="160"/>
  <c r="L162" i="160"/>
  <c r="K162" i="160"/>
  <c r="J162" i="160"/>
  <c r="N161" i="160"/>
  <c r="M161" i="160"/>
  <c r="L161" i="160"/>
  <c r="K161" i="160"/>
  <c r="J161" i="160"/>
  <c r="N160" i="160"/>
  <c r="M160" i="160"/>
  <c r="L160" i="160"/>
  <c r="K160" i="160"/>
  <c r="J160" i="160"/>
  <c r="N159" i="160"/>
  <c r="M159" i="160"/>
  <c r="L159" i="160"/>
  <c r="K159" i="160"/>
  <c r="J159" i="160"/>
  <c r="N158" i="160"/>
  <c r="M158" i="160"/>
  <c r="L158" i="160"/>
  <c r="K158" i="160"/>
  <c r="J158" i="160"/>
  <c r="N157" i="160"/>
  <c r="M157" i="160"/>
  <c r="L157" i="160"/>
  <c r="K157" i="160"/>
  <c r="J157" i="160"/>
  <c r="N156" i="160"/>
  <c r="M156" i="160"/>
  <c r="L156" i="160"/>
  <c r="K156" i="160"/>
  <c r="J156" i="160"/>
  <c r="N155" i="160"/>
  <c r="M155" i="160"/>
  <c r="L155" i="160"/>
  <c r="K155" i="160"/>
  <c r="J155" i="160"/>
  <c r="N154" i="160"/>
  <c r="M154" i="160"/>
  <c r="L154" i="160"/>
  <c r="K154" i="160"/>
  <c r="J154" i="160"/>
  <c r="N153" i="160"/>
  <c r="M153" i="160"/>
  <c r="L153" i="160"/>
  <c r="K153" i="160"/>
  <c r="J153" i="160"/>
  <c r="N152" i="160"/>
  <c r="M152" i="160"/>
  <c r="L152" i="160"/>
  <c r="K152" i="160"/>
  <c r="J152" i="160"/>
  <c r="N151" i="160"/>
  <c r="M151" i="160"/>
  <c r="L151" i="160"/>
  <c r="K151" i="160"/>
  <c r="J151" i="160"/>
  <c r="N150" i="160"/>
  <c r="M150" i="160"/>
  <c r="L150" i="160"/>
  <c r="K150" i="160"/>
  <c r="J150" i="160"/>
  <c r="N149" i="160"/>
  <c r="M149" i="160"/>
  <c r="L149" i="160"/>
  <c r="K149" i="160"/>
  <c r="J149" i="160"/>
  <c r="N148" i="160"/>
  <c r="M148" i="160"/>
  <c r="L148" i="160"/>
  <c r="K148" i="160"/>
  <c r="J148" i="160"/>
  <c r="N147" i="160"/>
  <c r="M147" i="160"/>
  <c r="L147" i="160"/>
  <c r="K147" i="160"/>
  <c r="J147" i="160"/>
  <c r="N146" i="160"/>
  <c r="M146" i="160"/>
  <c r="L146" i="160"/>
  <c r="K146" i="160"/>
  <c r="J146" i="160"/>
  <c r="N145" i="160"/>
  <c r="M145" i="160"/>
  <c r="L145" i="160"/>
  <c r="K145" i="160"/>
  <c r="J145" i="160"/>
  <c r="N144" i="160"/>
  <c r="M144" i="160"/>
  <c r="L144" i="160"/>
  <c r="K144" i="160"/>
  <c r="J144" i="160"/>
  <c r="N143" i="160"/>
  <c r="M143" i="160"/>
  <c r="L143" i="160"/>
  <c r="K143" i="160"/>
  <c r="J143" i="160"/>
  <c r="N142" i="160"/>
  <c r="M142" i="160"/>
  <c r="L142" i="160"/>
  <c r="K142" i="160"/>
  <c r="J142" i="160"/>
  <c r="N141" i="160"/>
  <c r="M141" i="160"/>
  <c r="L141" i="160"/>
  <c r="K141" i="160"/>
  <c r="J141" i="160"/>
  <c r="N140" i="160"/>
  <c r="M140" i="160"/>
  <c r="L140" i="160"/>
  <c r="K140" i="160"/>
  <c r="J140" i="160"/>
  <c r="N139" i="160"/>
  <c r="M139" i="160"/>
  <c r="L139" i="160"/>
  <c r="K139" i="160"/>
  <c r="J139" i="160"/>
  <c r="N138" i="160"/>
  <c r="M138" i="160"/>
  <c r="L138" i="160"/>
  <c r="K138" i="160"/>
  <c r="J138" i="160"/>
  <c r="N137" i="160"/>
  <c r="M137" i="160"/>
  <c r="L137" i="160"/>
  <c r="K137" i="160"/>
  <c r="J137" i="160"/>
  <c r="N136" i="160"/>
  <c r="M136" i="160"/>
  <c r="L136" i="160"/>
  <c r="K136" i="160"/>
  <c r="J136" i="160"/>
  <c r="N135" i="160"/>
  <c r="M135" i="160"/>
  <c r="L135" i="160"/>
  <c r="K135" i="160"/>
  <c r="J135" i="160"/>
  <c r="N134" i="160"/>
  <c r="M134" i="160"/>
  <c r="L134" i="160"/>
  <c r="K134" i="160"/>
  <c r="J134" i="160"/>
  <c r="N133" i="160"/>
  <c r="M133" i="160"/>
  <c r="L133" i="160"/>
  <c r="K133" i="160"/>
  <c r="J133" i="160"/>
  <c r="N132" i="160"/>
  <c r="M132" i="160"/>
  <c r="L132" i="160"/>
  <c r="K132" i="160"/>
  <c r="J132" i="160"/>
  <c r="N131" i="160"/>
  <c r="M131" i="160"/>
  <c r="L131" i="160"/>
  <c r="K131" i="160"/>
  <c r="J131" i="160"/>
  <c r="N130" i="160"/>
  <c r="M130" i="160"/>
  <c r="L130" i="160"/>
  <c r="K130" i="160"/>
  <c r="J130" i="160"/>
  <c r="N129" i="160"/>
  <c r="M129" i="160"/>
  <c r="L129" i="160"/>
  <c r="K129" i="160"/>
  <c r="J129" i="160"/>
  <c r="N128" i="160"/>
  <c r="M128" i="160"/>
  <c r="L128" i="160"/>
  <c r="K128" i="160"/>
  <c r="J128" i="160"/>
  <c r="N127" i="160"/>
  <c r="M127" i="160"/>
  <c r="L127" i="160"/>
  <c r="K127" i="160"/>
  <c r="J127" i="160"/>
  <c r="N126" i="160"/>
  <c r="M126" i="160"/>
  <c r="L126" i="160"/>
  <c r="K126" i="160"/>
  <c r="J126" i="160"/>
  <c r="N125" i="160"/>
  <c r="M125" i="160"/>
  <c r="L125" i="160"/>
  <c r="K125" i="160"/>
  <c r="J125" i="160"/>
  <c r="N124" i="160"/>
  <c r="M124" i="160"/>
  <c r="L124" i="160"/>
  <c r="K124" i="160"/>
  <c r="J124" i="160"/>
  <c r="N123" i="160"/>
  <c r="M123" i="160"/>
  <c r="L123" i="160"/>
  <c r="K123" i="160"/>
  <c r="J123" i="160"/>
  <c r="N122" i="160"/>
  <c r="M122" i="160"/>
  <c r="L122" i="160"/>
  <c r="K122" i="160"/>
  <c r="J122" i="160"/>
  <c r="N121" i="160"/>
  <c r="M121" i="160"/>
  <c r="L121" i="160"/>
  <c r="K121" i="160"/>
  <c r="J121" i="160"/>
  <c r="N120" i="160"/>
  <c r="M120" i="160"/>
  <c r="L120" i="160"/>
  <c r="K120" i="160"/>
  <c r="J120" i="160"/>
  <c r="N119" i="160"/>
  <c r="M119" i="160"/>
  <c r="L119" i="160"/>
  <c r="K119" i="160"/>
  <c r="J119" i="160"/>
  <c r="N48" i="160"/>
  <c r="M48" i="160"/>
  <c r="L48" i="160"/>
  <c r="K48" i="160"/>
  <c r="J48" i="160"/>
  <c r="N47" i="160"/>
  <c r="M47" i="160"/>
  <c r="L47" i="160"/>
  <c r="K47" i="160"/>
  <c r="J47" i="160"/>
  <c r="N46" i="160"/>
  <c r="M46" i="160"/>
  <c r="L46" i="160"/>
  <c r="K46" i="160"/>
  <c r="J46" i="160"/>
  <c r="N45" i="160"/>
  <c r="M45" i="160"/>
  <c r="L45" i="160"/>
  <c r="K45" i="160"/>
  <c r="J45" i="160"/>
  <c r="N44" i="160"/>
  <c r="M44" i="160"/>
  <c r="L44" i="160"/>
  <c r="K44" i="160"/>
  <c r="J44" i="160"/>
  <c r="N43" i="160"/>
  <c r="M43" i="160"/>
  <c r="L43" i="160"/>
  <c r="K43" i="160"/>
  <c r="J43" i="160"/>
  <c r="N42" i="160"/>
  <c r="M42" i="160"/>
  <c r="L42" i="160"/>
  <c r="K42" i="160"/>
  <c r="J42" i="160"/>
  <c r="N41" i="160"/>
  <c r="M41" i="160"/>
  <c r="L41" i="160"/>
  <c r="K41" i="160"/>
  <c r="J41" i="160"/>
  <c r="N40" i="160"/>
  <c r="M40" i="160"/>
  <c r="L40" i="160"/>
  <c r="K40" i="160"/>
  <c r="J40" i="160"/>
  <c r="N39" i="160"/>
  <c r="M39" i="160"/>
  <c r="L39" i="160"/>
  <c r="K39" i="160"/>
  <c r="J39" i="160"/>
  <c r="N38" i="160"/>
  <c r="M38" i="160"/>
  <c r="L38" i="160"/>
  <c r="K38" i="160"/>
  <c r="J38" i="160"/>
  <c r="N37" i="160"/>
  <c r="M37" i="160"/>
  <c r="L37" i="160"/>
  <c r="K37" i="160"/>
  <c r="J37" i="160"/>
  <c r="N36" i="160"/>
  <c r="M36" i="160"/>
  <c r="L36" i="160"/>
  <c r="K36" i="160"/>
  <c r="J36" i="160"/>
  <c r="N35" i="160"/>
  <c r="M35" i="160"/>
  <c r="L35" i="160"/>
  <c r="K35" i="160"/>
  <c r="J35" i="160"/>
  <c r="N34" i="160"/>
  <c r="M34" i="160"/>
  <c r="L34" i="160"/>
  <c r="K34" i="160"/>
  <c r="J34" i="160"/>
  <c r="N33" i="160"/>
  <c r="M33" i="160"/>
  <c r="L33" i="160"/>
  <c r="K33" i="160"/>
  <c r="J33" i="160"/>
  <c r="N32" i="160"/>
  <c r="M32" i="160"/>
  <c r="L32" i="160"/>
  <c r="K32" i="160"/>
  <c r="J32" i="160"/>
  <c r="N31" i="160"/>
  <c r="M31" i="160"/>
  <c r="L31" i="160"/>
  <c r="K31" i="160"/>
  <c r="J31" i="160"/>
  <c r="N30" i="160"/>
  <c r="M30" i="160"/>
  <c r="L30" i="160"/>
  <c r="K30" i="160"/>
  <c r="J30" i="160"/>
  <c r="N29" i="160"/>
  <c r="M29" i="160"/>
  <c r="L29" i="160"/>
  <c r="K29" i="160"/>
  <c r="J29" i="160"/>
  <c r="N28" i="160"/>
  <c r="M28" i="160"/>
  <c r="L28" i="160"/>
  <c r="K28" i="160"/>
  <c r="J28" i="160"/>
  <c r="N27" i="160"/>
  <c r="M27" i="160"/>
  <c r="L27" i="160"/>
  <c r="K27" i="160"/>
  <c r="J27" i="160"/>
  <c r="N26" i="160"/>
  <c r="M26" i="160"/>
  <c r="L26" i="160"/>
  <c r="K26" i="160"/>
  <c r="J26" i="160"/>
  <c r="N25" i="160"/>
  <c r="M25" i="160"/>
  <c r="L25" i="160"/>
  <c r="K25" i="160"/>
  <c r="J25" i="160"/>
  <c r="N24" i="160"/>
  <c r="M24" i="160"/>
  <c r="L24" i="160"/>
  <c r="K24" i="160"/>
  <c r="J24" i="160"/>
  <c r="N23" i="160"/>
  <c r="M23" i="160"/>
  <c r="L23" i="160"/>
  <c r="K23" i="160"/>
  <c r="J23" i="160"/>
  <c r="N22" i="160"/>
  <c r="M22" i="160"/>
  <c r="L22" i="160"/>
  <c r="K22" i="160"/>
  <c r="J22" i="160"/>
  <c r="N21" i="160"/>
  <c r="M21" i="160"/>
  <c r="L21" i="160"/>
  <c r="K21" i="160"/>
  <c r="J21" i="160"/>
  <c r="N20" i="160"/>
  <c r="M20" i="160"/>
  <c r="L20" i="160"/>
  <c r="K20" i="160"/>
  <c r="J20" i="160"/>
  <c r="N19" i="160"/>
  <c r="M19" i="160"/>
  <c r="L19" i="160"/>
  <c r="K19" i="160"/>
  <c r="J19" i="160"/>
  <c r="N18" i="160"/>
  <c r="M18" i="160"/>
  <c r="L18" i="160"/>
  <c r="K18" i="160"/>
  <c r="J18" i="160"/>
  <c r="N17" i="160"/>
  <c r="M17" i="160"/>
  <c r="L17" i="160"/>
  <c r="K17" i="160"/>
  <c r="J17" i="160"/>
  <c r="N16" i="160"/>
  <c r="M16" i="160"/>
  <c r="L16" i="160"/>
  <c r="K16" i="160"/>
  <c r="J16" i="160"/>
  <c r="N15" i="160"/>
  <c r="M15" i="160"/>
  <c r="L15" i="160"/>
  <c r="K15" i="160"/>
  <c r="J15" i="160"/>
  <c r="N14" i="160"/>
  <c r="M14" i="160"/>
  <c r="L14" i="160"/>
  <c r="K14" i="160"/>
  <c r="J14" i="160"/>
  <c r="N13" i="160"/>
  <c r="M13" i="160"/>
  <c r="L13" i="160"/>
  <c r="K13" i="160"/>
  <c r="J13" i="160"/>
  <c r="N12" i="160"/>
  <c r="M12" i="160"/>
  <c r="L12" i="160"/>
  <c r="K12" i="160"/>
  <c r="J12" i="160"/>
  <c r="N11" i="160"/>
  <c r="M11" i="160"/>
  <c r="L11" i="160"/>
  <c r="K11" i="160"/>
  <c r="J11" i="160"/>
  <c r="J10" i="160"/>
  <c r="J52" i="160" s="1"/>
  <c r="K10" i="160"/>
  <c r="K52" i="160" s="1"/>
  <c r="F18" i="159" s="1"/>
  <c r="L10" i="160"/>
  <c r="L52" i="160" s="1"/>
  <c r="G18" i="159" s="1"/>
  <c r="N109" i="161"/>
  <c r="M109" i="161"/>
  <c r="L109" i="161"/>
  <c r="K109" i="161"/>
  <c r="J109" i="161"/>
  <c r="N54" i="161"/>
  <c r="M54" i="161"/>
  <c r="L54" i="161"/>
  <c r="K54" i="161"/>
  <c r="J54" i="161"/>
  <c r="H50" i="161"/>
  <c r="D19" i="159" s="1"/>
  <c r="N47" i="161"/>
  <c r="M47" i="161"/>
  <c r="L47" i="161"/>
  <c r="K47" i="161"/>
  <c r="J47" i="161"/>
  <c r="N46" i="161"/>
  <c r="M46" i="161"/>
  <c r="L46" i="161"/>
  <c r="K46" i="161"/>
  <c r="J46" i="161"/>
  <c r="N45" i="161"/>
  <c r="M45" i="161"/>
  <c r="L45" i="161"/>
  <c r="K45" i="161"/>
  <c r="J45" i="161"/>
  <c r="N44" i="161"/>
  <c r="M44" i="161"/>
  <c r="L44" i="161"/>
  <c r="K44" i="161"/>
  <c r="J44" i="161"/>
  <c r="N43" i="161"/>
  <c r="M43" i="161"/>
  <c r="L43" i="161"/>
  <c r="K43" i="161"/>
  <c r="J43" i="161"/>
  <c r="N42" i="161"/>
  <c r="M42" i="161"/>
  <c r="L42" i="161"/>
  <c r="K42" i="161"/>
  <c r="J42" i="161"/>
  <c r="N41" i="161"/>
  <c r="M41" i="161"/>
  <c r="L41" i="161"/>
  <c r="K41" i="161"/>
  <c r="J41" i="161"/>
  <c r="N40" i="161"/>
  <c r="M40" i="161"/>
  <c r="L40" i="161"/>
  <c r="K40" i="161"/>
  <c r="J40" i="161"/>
  <c r="N39" i="161"/>
  <c r="M39" i="161"/>
  <c r="L39" i="161"/>
  <c r="K39" i="161"/>
  <c r="J39" i="161"/>
  <c r="N38" i="161"/>
  <c r="M38" i="161"/>
  <c r="L38" i="161"/>
  <c r="K38" i="161"/>
  <c r="J38" i="161"/>
  <c r="N37" i="161"/>
  <c r="M37" i="161"/>
  <c r="L37" i="161"/>
  <c r="K37" i="161"/>
  <c r="J37" i="161"/>
  <c r="N36" i="161"/>
  <c r="M36" i="161"/>
  <c r="L36" i="161"/>
  <c r="K36" i="161"/>
  <c r="J36" i="161"/>
  <c r="N35" i="161"/>
  <c r="M35" i="161"/>
  <c r="L35" i="161"/>
  <c r="K35" i="161"/>
  <c r="J35" i="161"/>
  <c r="N34" i="161"/>
  <c r="M34" i="161"/>
  <c r="L34" i="161"/>
  <c r="K34" i="161"/>
  <c r="J34" i="161"/>
  <c r="N33" i="161"/>
  <c r="M33" i="161"/>
  <c r="L33" i="161"/>
  <c r="K33" i="161"/>
  <c r="J33" i="161"/>
  <c r="N32" i="161"/>
  <c r="M32" i="161"/>
  <c r="L32" i="161"/>
  <c r="K32" i="161"/>
  <c r="J32" i="161"/>
  <c r="N31" i="161"/>
  <c r="M31" i="161"/>
  <c r="L31" i="161"/>
  <c r="K31" i="161"/>
  <c r="J31" i="161"/>
  <c r="N30" i="161"/>
  <c r="M30" i="161"/>
  <c r="L30" i="161"/>
  <c r="K30" i="161"/>
  <c r="J30" i="161"/>
  <c r="N29" i="161"/>
  <c r="M29" i="161"/>
  <c r="L29" i="161"/>
  <c r="K29" i="161"/>
  <c r="J29" i="161"/>
  <c r="N28" i="161"/>
  <c r="M28" i="161"/>
  <c r="L28" i="161"/>
  <c r="K28" i="161"/>
  <c r="J28" i="161"/>
  <c r="N27" i="161"/>
  <c r="M27" i="161"/>
  <c r="L27" i="161"/>
  <c r="K27" i="161"/>
  <c r="J27" i="161"/>
  <c r="N26" i="161"/>
  <c r="M26" i="161"/>
  <c r="L26" i="161"/>
  <c r="K26" i="161"/>
  <c r="J26" i="161"/>
  <c r="N25" i="161"/>
  <c r="M25" i="161"/>
  <c r="L25" i="161"/>
  <c r="K25" i="161"/>
  <c r="J25" i="161"/>
  <c r="N24" i="161"/>
  <c r="M24" i="161"/>
  <c r="L24" i="161"/>
  <c r="K24" i="161"/>
  <c r="J24" i="161"/>
  <c r="N23" i="161"/>
  <c r="M23" i="161"/>
  <c r="L23" i="161"/>
  <c r="K23" i="161"/>
  <c r="J23" i="161"/>
  <c r="N22" i="161"/>
  <c r="M22" i="161"/>
  <c r="L22" i="161"/>
  <c r="K22" i="161"/>
  <c r="J22" i="161"/>
  <c r="N21" i="161"/>
  <c r="M21" i="161"/>
  <c r="L21" i="161"/>
  <c r="K21" i="161"/>
  <c r="J21" i="161"/>
  <c r="N20" i="161"/>
  <c r="M20" i="161"/>
  <c r="L20" i="161"/>
  <c r="K20" i="161"/>
  <c r="J20" i="161"/>
  <c r="N19" i="161"/>
  <c r="M19" i="161"/>
  <c r="L19" i="161"/>
  <c r="K19" i="161"/>
  <c r="J19" i="161"/>
  <c r="N18" i="161"/>
  <c r="M18" i="161"/>
  <c r="L18" i="161"/>
  <c r="K18" i="161"/>
  <c r="J18" i="161"/>
  <c r="N17" i="161"/>
  <c r="M17" i="161"/>
  <c r="L17" i="161"/>
  <c r="K17" i="161"/>
  <c r="J17" i="161"/>
  <c r="N16" i="161"/>
  <c r="M16" i="161"/>
  <c r="L16" i="161"/>
  <c r="K16" i="161"/>
  <c r="J16" i="161"/>
  <c r="N15" i="161"/>
  <c r="M15" i="161"/>
  <c r="L15" i="161"/>
  <c r="K15" i="161"/>
  <c r="J15" i="161"/>
  <c r="N14" i="161"/>
  <c r="M14" i="161"/>
  <c r="L14" i="161"/>
  <c r="K14" i="161"/>
  <c r="J14" i="161"/>
  <c r="N13" i="161"/>
  <c r="M13" i="161"/>
  <c r="L13" i="161"/>
  <c r="K13" i="161"/>
  <c r="J13" i="161"/>
  <c r="N12" i="161"/>
  <c r="M12" i="161"/>
  <c r="L12" i="161"/>
  <c r="K12" i="161"/>
  <c r="J12" i="161"/>
  <c r="N11" i="161"/>
  <c r="M11" i="161"/>
  <c r="L11" i="161"/>
  <c r="K11" i="161"/>
  <c r="J11" i="161"/>
  <c r="N10" i="161"/>
  <c r="M10" i="161"/>
  <c r="L10" i="161"/>
  <c r="K10" i="161"/>
  <c r="J10" i="161"/>
  <c r="N190" i="161"/>
  <c r="M190" i="161"/>
  <c r="L190" i="161"/>
  <c r="K190" i="161"/>
  <c r="J190" i="161"/>
  <c r="N189" i="161"/>
  <c r="M189" i="161"/>
  <c r="L189" i="161"/>
  <c r="K189" i="161"/>
  <c r="J189" i="161"/>
  <c r="N188" i="161"/>
  <c r="M188" i="161"/>
  <c r="L188" i="161"/>
  <c r="K188" i="161"/>
  <c r="J188" i="161"/>
  <c r="N187" i="161"/>
  <c r="M187" i="161"/>
  <c r="L187" i="161"/>
  <c r="K187" i="161"/>
  <c r="J187" i="161"/>
  <c r="N186" i="161"/>
  <c r="M186" i="161"/>
  <c r="L186" i="161"/>
  <c r="K186" i="161"/>
  <c r="J186" i="161"/>
  <c r="N185" i="161"/>
  <c r="M185" i="161"/>
  <c r="L185" i="161"/>
  <c r="K185" i="161"/>
  <c r="J185" i="161"/>
  <c r="N184" i="161"/>
  <c r="M184" i="161"/>
  <c r="L184" i="161"/>
  <c r="K184" i="161"/>
  <c r="J184" i="161"/>
  <c r="N183" i="161"/>
  <c r="M183" i="161"/>
  <c r="L183" i="161"/>
  <c r="K183" i="161"/>
  <c r="J183" i="161"/>
  <c r="N182" i="161"/>
  <c r="M182" i="161"/>
  <c r="L182" i="161"/>
  <c r="K182" i="161"/>
  <c r="J182" i="161"/>
  <c r="N181" i="161"/>
  <c r="M181" i="161"/>
  <c r="L181" i="161"/>
  <c r="K181" i="161"/>
  <c r="J181" i="161"/>
  <c r="N180" i="161"/>
  <c r="M180" i="161"/>
  <c r="L180" i="161"/>
  <c r="K180" i="161"/>
  <c r="J180" i="161"/>
  <c r="N179" i="161"/>
  <c r="M179" i="161"/>
  <c r="L179" i="161"/>
  <c r="K179" i="161"/>
  <c r="J179" i="161"/>
  <c r="N178" i="161"/>
  <c r="M178" i="161"/>
  <c r="L178" i="161"/>
  <c r="K178" i="161"/>
  <c r="J178" i="161"/>
  <c r="N177" i="161"/>
  <c r="M177" i="161"/>
  <c r="L177" i="161"/>
  <c r="K177" i="161"/>
  <c r="J177" i="161"/>
  <c r="N176" i="161"/>
  <c r="M176" i="161"/>
  <c r="L176" i="161"/>
  <c r="K176" i="161"/>
  <c r="J176" i="161"/>
  <c r="N175" i="161"/>
  <c r="M175" i="161"/>
  <c r="L175" i="161"/>
  <c r="K175" i="161"/>
  <c r="J175" i="161"/>
  <c r="N174" i="161"/>
  <c r="M174" i="161"/>
  <c r="L174" i="161"/>
  <c r="K174" i="161"/>
  <c r="J174" i="161"/>
  <c r="N173" i="161"/>
  <c r="M173" i="161"/>
  <c r="L173" i="161"/>
  <c r="K173" i="161"/>
  <c r="J173" i="161"/>
  <c r="N172" i="161"/>
  <c r="M172" i="161"/>
  <c r="L172" i="161"/>
  <c r="K172" i="161"/>
  <c r="J172" i="161"/>
  <c r="N171" i="161"/>
  <c r="M171" i="161"/>
  <c r="L171" i="161"/>
  <c r="K171" i="161"/>
  <c r="J171" i="161"/>
  <c r="N170" i="161"/>
  <c r="M170" i="161"/>
  <c r="L170" i="161"/>
  <c r="K170" i="161"/>
  <c r="J170" i="161"/>
  <c r="N169" i="161"/>
  <c r="M169" i="161"/>
  <c r="L169" i="161"/>
  <c r="K169" i="161"/>
  <c r="J169" i="161"/>
  <c r="N168" i="161"/>
  <c r="M168" i="161"/>
  <c r="L168" i="161"/>
  <c r="K168" i="161"/>
  <c r="J168" i="161"/>
  <c r="N167" i="161"/>
  <c r="M167" i="161"/>
  <c r="L167" i="161"/>
  <c r="K167" i="161"/>
  <c r="J167" i="161"/>
  <c r="N166" i="161"/>
  <c r="M166" i="161"/>
  <c r="L166" i="161"/>
  <c r="K166" i="161"/>
  <c r="J166" i="161"/>
  <c r="N165" i="161"/>
  <c r="M165" i="161"/>
  <c r="L165" i="161"/>
  <c r="K165" i="161"/>
  <c r="J165" i="161"/>
  <c r="N164" i="161"/>
  <c r="M164" i="161"/>
  <c r="L164" i="161"/>
  <c r="K164" i="161"/>
  <c r="J164" i="161"/>
  <c r="N163" i="161"/>
  <c r="M163" i="161"/>
  <c r="L163" i="161"/>
  <c r="K163" i="161"/>
  <c r="J163" i="161"/>
  <c r="N162" i="161"/>
  <c r="M162" i="161"/>
  <c r="L162" i="161"/>
  <c r="K162" i="161"/>
  <c r="J162" i="161"/>
  <c r="N161" i="161"/>
  <c r="M161" i="161"/>
  <c r="L161" i="161"/>
  <c r="K161" i="161"/>
  <c r="J161" i="161"/>
  <c r="N160" i="161"/>
  <c r="M160" i="161"/>
  <c r="L160" i="161"/>
  <c r="K160" i="161"/>
  <c r="J160" i="161"/>
  <c r="N159" i="161"/>
  <c r="M159" i="161"/>
  <c r="L159" i="161"/>
  <c r="K159" i="161"/>
  <c r="J159" i="161"/>
  <c r="N158" i="161"/>
  <c r="M158" i="161"/>
  <c r="L158" i="161"/>
  <c r="K158" i="161"/>
  <c r="J158" i="161"/>
  <c r="N157" i="161"/>
  <c r="M157" i="161"/>
  <c r="L157" i="161"/>
  <c r="K157" i="161"/>
  <c r="J157" i="161"/>
  <c r="N156" i="161"/>
  <c r="M156" i="161"/>
  <c r="L156" i="161"/>
  <c r="K156" i="161"/>
  <c r="J156" i="161"/>
  <c r="N155" i="161"/>
  <c r="M155" i="161"/>
  <c r="L155" i="161"/>
  <c r="K155" i="161"/>
  <c r="J155" i="161"/>
  <c r="N154" i="161"/>
  <c r="M154" i="161"/>
  <c r="L154" i="161"/>
  <c r="K154" i="161"/>
  <c r="J154" i="161"/>
  <c r="N153" i="161"/>
  <c r="M153" i="161"/>
  <c r="L153" i="161"/>
  <c r="K153" i="161"/>
  <c r="J153" i="161"/>
  <c r="N152" i="161"/>
  <c r="M152" i="161"/>
  <c r="L152" i="161"/>
  <c r="K152" i="161"/>
  <c r="J152" i="161"/>
  <c r="N151" i="161"/>
  <c r="M151" i="161"/>
  <c r="L151" i="161"/>
  <c r="K151" i="161"/>
  <c r="J151" i="161"/>
  <c r="N150" i="161"/>
  <c r="M150" i="161"/>
  <c r="L150" i="161"/>
  <c r="K150" i="161"/>
  <c r="J150" i="161"/>
  <c r="N149" i="161"/>
  <c r="M149" i="161"/>
  <c r="L149" i="161"/>
  <c r="K149" i="161"/>
  <c r="J149" i="161"/>
  <c r="N148" i="161"/>
  <c r="M148" i="161"/>
  <c r="L148" i="161"/>
  <c r="K148" i="161"/>
  <c r="J148" i="161"/>
  <c r="N147" i="161"/>
  <c r="M147" i="161"/>
  <c r="L147" i="161"/>
  <c r="K147" i="161"/>
  <c r="J147" i="161"/>
  <c r="N146" i="161"/>
  <c r="M146" i="161"/>
  <c r="L146" i="161"/>
  <c r="K146" i="161"/>
  <c r="J146" i="161"/>
  <c r="N145" i="161"/>
  <c r="M145" i="161"/>
  <c r="L145" i="161"/>
  <c r="K145" i="161"/>
  <c r="J145" i="161"/>
  <c r="N144" i="161"/>
  <c r="M144" i="161"/>
  <c r="L144" i="161"/>
  <c r="K144" i="161"/>
  <c r="J144" i="161"/>
  <c r="N143" i="161"/>
  <c r="M143" i="161"/>
  <c r="L143" i="161"/>
  <c r="K143" i="161"/>
  <c r="J143" i="161"/>
  <c r="N142" i="161"/>
  <c r="M142" i="161"/>
  <c r="L142" i="161"/>
  <c r="K142" i="161"/>
  <c r="J142" i="161"/>
  <c r="N141" i="161"/>
  <c r="M141" i="161"/>
  <c r="L141" i="161"/>
  <c r="K141" i="161"/>
  <c r="J141" i="161"/>
  <c r="N140" i="161"/>
  <c r="M140" i="161"/>
  <c r="L140" i="161"/>
  <c r="K140" i="161"/>
  <c r="J140" i="161"/>
  <c r="N139" i="161"/>
  <c r="M139" i="161"/>
  <c r="L139" i="161"/>
  <c r="K139" i="161"/>
  <c r="J139" i="161"/>
  <c r="N138" i="161"/>
  <c r="M138" i="161"/>
  <c r="L138" i="161"/>
  <c r="K138" i="161"/>
  <c r="J138" i="161"/>
  <c r="N137" i="161"/>
  <c r="M137" i="161"/>
  <c r="L137" i="161"/>
  <c r="K137" i="161"/>
  <c r="J137" i="161"/>
  <c r="N136" i="161"/>
  <c r="M136" i="161"/>
  <c r="L136" i="161"/>
  <c r="K136" i="161"/>
  <c r="J136" i="161"/>
  <c r="N135" i="161"/>
  <c r="M135" i="161"/>
  <c r="L135" i="161"/>
  <c r="K135" i="161"/>
  <c r="J135" i="161"/>
  <c r="N134" i="161"/>
  <c r="M134" i="161"/>
  <c r="L134" i="161"/>
  <c r="K134" i="161"/>
  <c r="J134" i="161"/>
  <c r="N133" i="161"/>
  <c r="M133" i="161"/>
  <c r="L133" i="161"/>
  <c r="K133" i="161"/>
  <c r="J133" i="161"/>
  <c r="N132" i="161"/>
  <c r="M132" i="161"/>
  <c r="L132" i="161"/>
  <c r="K132" i="161"/>
  <c r="J132" i="161"/>
  <c r="N131" i="161"/>
  <c r="M131" i="161"/>
  <c r="L131" i="161"/>
  <c r="K131" i="161"/>
  <c r="J131" i="161"/>
  <c r="N130" i="161"/>
  <c r="M130" i="161"/>
  <c r="L130" i="161"/>
  <c r="K130" i="161"/>
  <c r="J130" i="161"/>
  <c r="N129" i="161"/>
  <c r="M129" i="161"/>
  <c r="L129" i="161"/>
  <c r="K129" i="161"/>
  <c r="J129" i="161"/>
  <c r="N128" i="161"/>
  <c r="M128" i="161"/>
  <c r="L128" i="161"/>
  <c r="K128" i="161"/>
  <c r="J128" i="161"/>
  <c r="N127" i="161"/>
  <c r="M127" i="161"/>
  <c r="L127" i="161"/>
  <c r="K127" i="161"/>
  <c r="J127" i="161"/>
  <c r="N126" i="161"/>
  <c r="M126" i="161"/>
  <c r="L126" i="161"/>
  <c r="K126" i="161"/>
  <c r="J126" i="161"/>
  <c r="N125" i="161"/>
  <c r="M125" i="161"/>
  <c r="L125" i="161"/>
  <c r="K125" i="161"/>
  <c r="J125" i="161"/>
  <c r="N124" i="161"/>
  <c r="M124" i="161"/>
  <c r="L124" i="161"/>
  <c r="K124" i="161"/>
  <c r="J124" i="161"/>
  <c r="N123" i="161"/>
  <c r="M123" i="161"/>
  <c r="L123" i="161"/>
  <c r="K123" i="161"/>
  <c r="J123" i="161"/>
  <c r="N122" i="161"/>
  <c r="M122" i="161"/>
  <c r="L122" i="161"/>
  <c r="K122" i="161"/>
  <c r="J122" i="161"/>
  <c r="N121" i="161"/>
  <c r="M121" i="161"/>
  <c r="L121" i="161"/>
  <c r="K121" i="161"/>
  <c r="J121" i="161"/>
  <c r="N120" i="161"/>
  <c r="M120" i="161"/>
  <c r="L120" i="161"/>
  <c r="K120" i="161"/>
  <c r="J120" i="161"/>
  <c r="N119" i="161"/>
  <c r="M119" i="161"/>
  <c r="L119" i="161"/>
  <c r="K119" i="161"/>
  <c r="J119" i="161"/>
  <c r="N118" i="161"/>
  <c r="M118" i="161"/>
  <c r="L118" i="161"/>
  <c r="K118" i="161"/>
  <c r="J118" i="161"/>
  <c r="N160" i="139"/>
  <c r="M160" i="139"/>
  <c r="L160" i="139"/>
  <c r="K160" i="139"/>
  <c r="J160" i="139"/>
  <c r="M159" i="139"/>
  <c r="K159" i="139"/>
  <c r="N158" i="139"/>
  <c r="M158" i="139"/>
  <c r="L158" i="139"/>
  <c r="K158" i="139"/>
  <c r="J158" i="139"/>
  <c r="N157" i="139"/>
  <c r="M157" i="139"/>
  <c r="L157" i="139"/>
  <c r="K157" i="139"/>
  <c r="J157" i="139"/>
  <c r="N156" i="139"/>
  <c r="M156" i="139"/>
  <c r="L156" i="139"/>
  <c r="K156" i="139"/>
  <c r="J156" i="139"/>
  <c r="N155" i="139"/>
  <c r="M155" i="139"/>
  <c r="L155" i="139"/>
  <c r="K155" i="139"/>
  <c r="J155" i="139"/>
  <c r="N154" i="139"/>
  <c r="M154" i="139"/>
  <c r="L154" i="139"/>
  <c r="K154" i="139"/>
  <c r="J154" i="139"/>
  <c r="N153" i="139"/>
  <c r="M153" i="139"/>
  <c r="L153" i="139"/>
  <c r="K153" i="139"/>
  <c r="J153" i="139"/>
  <c r="N152" i="139"/>
  <c r="M152" i="139"/>
  <c r="L152" i="139"/>
  <c r="K152" i="139"/>
  <c r="J152" i="139"/>
  <c r="N151" i="139"/>
  <c r="M151" i="139"/>
  <c r="L151" i="139"/>
  <c r="K151" i="139"/>
  <c r="J151" i="139"/>
  <c r="N150" i="139"/>
  <c r="M150" i="139"/>
  <c r="L150" i="139"/>
  <c r="K150" i="139"/>
  <c r="J150" i="139"/>
  <c r="N149" i="139"/>
  <c r="M149" i="139"/>
  <c r="L149" i="139"/>
  <c r="K149" i="139"/>
  <c r="J149" i="139"/>
  <c r="N148" i="139"/>
  <c r="M148" i="139"/>
  <c r="L148" i="139"/>
  <c r="K148" i="139"/>
  <c r="J148" i="139"/>
  <c r="N147" i="139"/>
  <c r="M147" i="139"/>
  <c r="L147" i="139"/>
  <c r="K147" i="139"/>
  <c r="J147" i="139"/>
  <c r="N146" i="139"/>
  <c r="M146" i="139"/>
  <c r="L146" i="139"/>
  <c r="K146" i="139"/>
  <c r="J146" i="139"/>
  <c r="N145" i="139"/>
  <c r="M145" i="139"/>
  <c r="L145" i="139"/>
  <c r="K145" i="139"/>
  <c r="J145" i="139"/>
  <c r="N144" i="139"/>
  <c r="M144" i="139"/>
  <c r="L144" i="139"/>
  <c r="K144" i="139"/>
  <c r="J144" i="139"/>
  <c r="N143" i="139"/>
  <c r="M143" i="139"/>
  <c r="L143" i="139"/>
  <c r="K143" i="139"/>
  <c r="J143" i="139"/>
  <c r="N142" i="139"/>
  <c r="M142" i="139"/>
  <c r="L142" i="139"/>
  <c r="K142" i="139"/>
  <c r="J142" i="139"/>
  <c r="N141" i="139"/>
  <c r="M141" i="139"/>
  <c r="L141" i="139"/>
  <c r="K141" i="139"/>
  <c r="J141" i="139"/>
  <c r="N140" i="139"/>
  <c r="M140" i="139"/>
  <c r="L140" i="139"/>
  <c r="K140" i="139"/>
  <c r="J140" i="139"/>
  <c r="N139" i="139"/>
  <c r="M139" i="139"/>
  <c r="L139" i="139"/>
  <c r="K139" i="139"/>
  <c r="J139" i="139"/>
  <c r="N138" i="139"/>
  <c r="M138" i="139"/>
  <c r="L138" i="139"/>
  <c r="K138" i="139"/>
  <c r="J138" i="139"/>
  <c r="N137" i="139"/>
  <c r="M137" i="139"/>
  <c r="L137" i="139"/>
  <c r="K137" i="139"/>
  <c r="J137" i="139"/>
  <c r="N136" i="139"/>
  <c r="M136" i="139"/>
  <c r="L136" i="139"/>
  <c r="K136" i="139"/>
  <c r="J136" i="139"/>
  <c r="N135" i="139"/>
  <c r="M135" i="139"/>
  <c r="L135" i="139"/>
  <c r="K135" i="139"/>
  <c r="J135" i="139"/>
  <c r="N134" i="139"/>
  <c r="M134" i="139"/>
  <c r="L134" i="139"/>
  <c r="K134" i="139"/>
  <c r="J134" i="139"/>
  <c r="N133" i="139"/>
  <c r="M133" i="139"/>
  <c r="L133" i="139"/>
  <c r="K133" i="139"/>
  <c r="J133" i="139"/>
  <c r="N132" i="139"/>
  <c r="M132" i="139"/>
  <c r="L132" i="139"/>
  <c r="K132" i="139"/>
  <c r="J132" i="139"/>
  <c r="N131" i="139"/>
  <c r="M131" i="139"/>
  <c r="L131" i="139"/>
  <c r="K131" i="139"/>
  <c r="J131" i="139"/>
  <c r="N130" i="139"/>
  <c r="M130" i="139"/>
  <c r="L130" i="139"/>
  <c r="K130" i="139"/>
  <c r="J130" i="139"/>
  <c r="N129" i="139"/>
  <c r="M129" i="139"/>
  <c r="L129" i="139"/>
  <c r="K129" i="139"/>
  <c r="J129" i="139"/>
  <c r="N128" i="139"/>
  <c r="M128" i="139"/>
  <c r="L128" i="139"/>
  <c r="K128" i="139"/>
  <c r="J128" i="139"/>
  <c r="N127" i="139"/>
  <c r="M127" i="139"/>
  <c r="L127" i="139"/>
  <c r="K127" i="139"/>
  <c r="J127" i="139"/>
  <c r="N126" i="139"/>
  <c r="M126" i="139"/>
  <c r="L126" i="139"/>
  <c r="K126" i="139"/>
  <c r="J126" i="139"/>
  <c r="N125" i="139"/>
  <c r="M125" i="139"/>
  <c r="L125" i="139"/>
  <c r="K125" i="139"/>
  <c r="J125" i="139"/>
  <c r="N124" i="139"/>
  <c r="M124" i="139"/>
  <c r="L124" i="139"/>
  <c r="K124" i="139"/>
  <c r="J124" i="139"/>
  <c r="N123" i="139"/>
  <c r="M123" i="139"/>
  <c r="L123" i="139"/>
  <c r="K123" i="139"/>
  <c r="J123" i="139"/>
  <c r="N122" i="139"/>
  <c r="M122" i="139"/>
  <c r="L122" i="139"/>
  <c r="K122" i="139"/>
  <c r="J122" i="139"/>
  <c r="N121" i="139"/>
  <c r="M121" i="139"/>
  <c r="L121" i="139"/>
  <c r="K121" i="139"/>
  <c r="J121" i="139"/>
  <c r="N120" i="139"/>
  <c r="M120" i="139"/>
  <c r="L120" i="139"/>
  <c r="K120" i="139"/>
  <c r="J120" i="139"/>
  <c r="N119" i="139"/>
  <c r="M119" i="139"/>
  <c r="L119" i="139"/>
  <c r="K119" i="139"/>
  <c r="J119" i="139"/>
  <c r="N118" i="139"/>
  <c r="M118" i="139"/>
  <c r="L118" i="139"/>
  <c r="K118" i="139"/>
  <c r="J118" i="139"/>
  <c r="N117" i="139"/>
  <c r="M117" i="139"/>
  <c r="L117" i="139"/>
  <c r="K117" i="139"/>
  <c r="J117" i="139"/>
  <c r="N116" i="139"/>
  <c r="M116" i="139"/>
  <c r="L116" i="139"/>
  <c r="K116" i="139"/>
  <c r="J116" i="139"/>
  <c r="N115" i="139"/>
  <c r="M115" i="139"/>
  <c r="L115" i="139"/>
  <c r="K115" i="139"/>
  <c r="J115" i="139"/>
  <c r="N114" i="139"/>
  <c r="M114" i="139"/>
  <c r="L114" i="139"/>
  <c r="K114" i="139"/>
  <c r="J114" i="139"/>
  <c r="N113" i="139"/>
  <c r="M113" i="139"/>
  <c r="L113" i="139"/>
  <c r="K113" i="139"/>
  <c r="J113" i="139"/>
  <c r="N112" i="139"/>
  <c r="M112" i="139"/>
  <c r="L112" i="139"/>
  <c r="K112" i="139"/>
  <c r="J112" i="139"/>
  <c r="N111" i="139"/>
  <c r="M111" i="139"/>
  <c r="L111" i="139"/>
  <c r="K111" i="139"/>
  <c r="J111" i="139"/>
  <c r="N110" i="139"/>
  <c r="M110" i="139"/>
  <c r="L110" i="139"/>
  <c r="K110" i="139"/>
  <c r="J110" i="139"/>
  <c r="N109" i="139"/>
  <c r="M109" i="139"/>
  <c r="L109" i="139"/>
  <c r="K109" i="139"/>
  <c r="J109" i="139"/>
  <c r="N108" i="139"/>
  <c r="M108" i="139"/>
  <c r="L108" i="139"/>
  <c r="K108" i="139"/>
  <c r="J108" i="139"/>
  <c r="N107" i="139"/>
  <c r="M107" i="139"/>
  <c r="L107" i="139"/>
  <c r="K107" i="139"/>
  <c r="J107" i="139"/>
  <c r="N106" i="139"/>
  <c r="M106" i="139"/>
  <c r="L106" i="139"/>
  <c r="K106" i="139"/>
  <c r="J106" i="139"/>
  <c r="N99" i="139"/>
  <c r="M99" i="139"/>
  <c r="L99" i="139"/>
  <c r="K99" i="139"/>
  <c r="J99" i="139"/>
  <c r="N97" i="139"/>
  <c r="M97" i="139"/>
  <c r="L97" i="139"/>
  <c r="K97" i="139"/>
  <c r="J97" i="139"/>
  <c r="N96" i="139"/>
  <c r="M96" i="139"/>
  <c r="L96" i="139"/>
  <c r="K96" i="139"/>
  <c r="J96" i="139"/>
  <c r="N95" i="139"/>
  <c r="M95" i="139"/>
  <c r="L95" i="139"/>
  <c r="K95" i="139"/>
  <c r="J95" i="139"/>
  <c r="N93" i="139"/>
  <c r="M93" i="139"/>
  <c r="L93" i="139"/>
  <c r="K93" i="139"/>
  <c r="J93" i="139"/>
  <c r="N92" i="139"/>
  <c r="M92" i="139"/>
  <c r="L92" i="139"/>
  <c r="K92" i="139"/>
  <c r="J92" i="139"/>
  <c r="N91" i="139"/>
  <c r="M91" i="139"/>
  <c r="L91" i="139"/>
  <c r="K91" i="139"/>
  <c r="J91" i="139"/>
  <c r="N90" i="139"/>
  <c r="M90" i="139"/>
  <c r="L90" i="139"/>
  <c r="K90" i="139"/>
  <c r="J90" i="139"/>
  <c r="N89" i="139"/>
  <c r="M89" i="139"/>
  <c r="L89" i="139"/>
  <c r="K89" i="139"/>
  <c r="J89" i="139"/>
  <c r="N88" i="139"/>
  <c r="M88" i="139"/>
  <c r="L88" i="139"/>
  <c r="K88" i="139"/>
  <c r="J88" i="139"/>
  <c r="N87" i="139"/>
  <c r="M87" i="139"/>
  <c r="L87" i="139"/>
  <c r="K87" i="139"/>
  <c r="J87" i="139"/>
  <c r="N86" i="139"/>
  <c r="M86" i="139"/>
  <c r="L86" i="139"/>
  <c r="K86" i="139"/>
  <c r="J86" i="139"/>
  <c r="N85" i="139"/>
  <c r="M85" i="139"/>
  <c r="L85" i="139"/>
  <c r="K85" i="139"/>
  <c r="J85" i="139"/>
  <c r="N84" i="139"/>
  <c r="M84" i="139"/>
  <c r="L84" i="139"/>
  <c r="K84" i="139"/>
  <c r="J84" i="139"/>
  <c r="N83" i="139"/>
  <c r="M83" i="139"/>
  <c r="L83" i="139"/>
  <c r="K83" i="139"/>
  <c r="J83" i="139"/>
  <c r="N82" i="139"/>
  <c r="M82" i="139"/>
  <c r="L82" i="139"/>
  <c r="K82" i="139"/>
  <c r="J82" i="139"/>
  <c r="N81" i="139"/>
  <c r="M81" i="139"/>
  <c r="L81" i="139"/>
  <c r="K81" i="139"/>
  <c r="J81" i="139"/>
  <c r="N80" i="139"/>
  <c r="M80" i="139"/>
  <c r="L80" i="139"/>
  <c r="K80" i="139"/>
  <c r="J80" i="139"/>
  <c r="N79" i="139"/>
  <c r="M79" i="139"/>
  <c r="L79" i="139"/>
  <c r="K79" i="139"/>
  <c r="J79" i="139"/>
  <c r="N78" i="139"/>
  <c r="M78" i="139"/>
  <c r="L78" i="139"/>
  <c r="K78" i="139"/>
  <c r="J78" i="139"/>
  <c r="N77" i="139"/>
  <c r="M77" i="139"/>
  <c r="L77" i="139"/>
  <c r="K77" i="139"/>
  <c r="J77" i="139"/>
  <c r="N76" i="139"/>
  <c r="M76" i="139"/>
  <c r="L76" i="139"/>
  <c r="K76" i="139"/>
  <c r="J76" i="139"/>
  <c r="N75" i="139"/>
  <c r="M75" i="139"/>
  <c r="L75" i="139"/>
  <c r="K75" i="139"/>
  <c r="J75" i="139"/>
  <c r="N74" i="139"/>
  <c r="M74" i="139"/>
  <c r="L74" i="139"/>
  <c r="K74" i="139"/>
  <c r="J74" i="139"/>
  <c r="N73" i="139"/>
  <c r="M73" i="139"/>
  <c r="L73" i="139"/>
  <c r="K73" i="139"/>
  <c r="J73" i="139"/>
  <c r="N72" i="139"/>
  <c r="M72" i="139"/>
  <c r="L72" i="139"/>
  <c r="K72" i="139"/>
  <c r="J72" i="139"/>
  <c r="N71" i="139"/>
  <c r="M71" i="139"/>
  <c r="L71" i="139"/>
  <c r="K71" i="139"/>
  <c r="J71" i="139"/>
  <c r="N70" i="139"/>
  <c r="M70" i="139"/>
  <c r="L70" i="139"/>
  <c r="K70" i="139"/>
  <c r="J70" i="139"/>
  <c r="N69" i="139"/>
  <c r="M69" i="139"/>
  <c r="L69" i="139"/>
  <c r="K69" i="139"/>
  <c r="J69" i="139"/>
  <c r="N68" i="139"/>
  <c r="M68" i="139"/>
  <c r="L68" i="139"/>
  <c r="K68" i="139"/>
  <c r="J68" i="139"/>
  <c r="N67" i="139"/>
  <c r="M67" i="139"/>
  <c r="L67" i="139"/>
  <c r="K67" i="139"/>
  <c r="J67" i="139"/>
  <c r="N66" i="139"/>
  <c r="M66" i="139"/>
  <c r="L66" i="139"/>
  <c r="K66" i="139"/>
  <c r="J66" i="139"/>
  <c r="N65" i="139"/>
  <c r="M65" i="139"/>
  <c r="L65" i="139"/>
  <c r="K65" i="139"/>
  <c r="J65" i="139"/>
  <c r="N64" i="139"/>
  <c r="M64" i="139"/>
  <c r="L64" i="139"/>
  <c r="K64" i="139"/>
  <c r="J64" i="139"/>
  <c r="N63" i="139"/>
  <c r="M63" i="139"/>
  <c r="L63" i="139"/>
  <c r="K63" i="139"/>
  <c r="J63" i="139"/>
  <c r="N62" i="139"/>
  <c r="M62" i="139"/>
  <c r="L62" i="139"/>
  <c r="K62" i="139"/>
  <c r="J62" i="139"/>
  <c r="N61" i="139"/>
  <c r="M61" i="139"/>
  <c r="L61" i="139"/>
  <c r="K61" i="139"/>
  <c r="J61" i="139"/>
  <c r="N60" i="139"/>
  <c r="M60" i="139"/>
  <c r="L60" i="139"/>
  <c r="K60" i="139"/>
  <c r="J60" i="139"/>
  <c r="N59" i="139"/>
  <c r="M59" i="139"/>
  <c r="L59" i="139"/>
  <c r="K59" i="139"/>
  <c r="J59" i="139"/>
  <c r="N58" i="139"/>
  <c r="M58" i="139"/>
  <c r="L58" i="139"/>
  <c r="K58" i="139"/>
  <c r="J58" i="139"/>
  <c r="N57" i="139"/>
  <c r="M57" i="139"/>
  <c r="L57" i="139"/>
  <c r="K57" i="139"/>
  <c r="J57" i="139"/>
  <c r="N56" i="139"/>
  <c r="M56" i="139"/>
  <c r="L56" i="139"/>
  <c r="K56" i="139"/>
  <c r="J56" i="139"/>
  <c r="N55" i="139"/>
  <c r="M55" i="139"/>
  <c r="L55" i="139"/>
  <c r="K55" i="139"/>
  <c r="J55" i="139"/>
  <c r="H101" i="139"/>
  <c r="D31" i="89" s="1"/>
  <c r="N46" i="139"/>
  <c r="M46" i="139"/>
  <c r="L46" i="139"/>
  <c r="K46" i="139"/>
  <c r="J46" i="139"/>
  <c r="N45" i="139"/>
  <c r="M45" i="139"/>
  <c r="L45" i="139"/>
  <c r="K45" i="139"/>
  <c r="J45" i="139"/>
  <c r="N44" i="139"/>
  <c r="M44" i="139"/>
  <c r="L44" i="139"/>
  <c r="K44" i="139"/>
  <c r="J44" i="139"/>
  <c r="N43" i="139"/>
  <c r="M43" i="139"/>
  <c r="L43" i="139"/>
  <c r="K43" i="139"/>
  <c r="J43" i="139"/>
  <c r="N42" i="139"/>
  <c r="M42" i="139"/>
  <c r="L42" i="139"/>
  <c r="K42" i="139"/>
  <c r="J42" i="139"/>
  <c r="N41" i="139"/>
  <c r="M41" i="139"/>
  <c r="L41" i="139"/>
  <c r="K41" i="139"/>
  <c r="J41" i="139"/>
  <c r="N40" i="139"/>
  <c r="M40" i="139"/>
  <c r="L40" i="139"/>
  <c r="K40" i="139"/>
  <c r="J40" i="139"/>
  <c r="N39" i="139"/>
  <c r="M39" i="139"/>
  <c r="L39" i="139"/>
  <c r="K39" i="139"/>
  <c r="J39" i="139"/>
  <c r="N38" i="139"/>
  <c r="M38" i="139"/>
  <c r="L38" i="139"/>
  <c r="K38" i="139"/>
  <c r="J38" i="139"/>
  <c r="N37" i="139"/>
  <c r="M37" i="139"/>
  <c r="L37" i="139"/>
  <c r="K37" i="139"/>
  <c r="J37" i="139"/>
  <c r="N36" i="139"/>
  <c r="M36" i="139"/>
  <c r="L36" i="139"/>
  <c r="K36" i="139"/>
  <c r="J36" i="139"/>
  <c r="N35" i="139"/>
  <c r="M35" i="139"/>
  <c r="L35" i="139"/>
  <c r="K35" i="139"/>
  <c r="J35" i="139"/>
  <c r="N34" i="139"/>
  <c r="M34" i="139"/>
  <c r="L34" i="139"/>
  <c r="K34" i="139"/>
  <c r="J34" i="139"/>
  <c r="N33" i="139"/>
  <c r="M33" i="139"/>
  <c r="L33" i="139"/>
  <c r="K33" i="139"/>
  <c r="J33" i="139"/>
  <c r="N32" i="139"/>
  <c r="M32" i="139"/>
  <c r="L32" i="139"/>
  <c r="K32" i="139"/>
  <c r="J32" i="139"/>
  <c r="N31" i="139"/>
  <c r="M31" i="139"/>
  <c r="L31" i="139"/>
  <c r="K31" i="139"/>
  <c r="J31" i="139"/>
  <c r="N30" i="139"/>
  <c r="M30" i="139"/>
  <c r="L30" i="139"/>
  <c r="K30" i="139"/>
  <c r="J30" i="139"/>
  <c r="N29" i="139"/>
  <c r="M29" i="139"/>
  <c r="L29" i="139"/>
  <c r="K29" i="139"/>
  <c r="J29" i="139"/>
  <c r="N28" i="139"/>
  <c r="M28" i="139"/>
  <c r="L28" i="139"/>
  <c r="K28" i="139"/>
  <c r="J28" i="139"/>
  <c r="N27" i="139"/>
  <c r="M27" i="139"/>
  <c r="L27" i="139"/>
  <c r="K27" i="139"/>
  <c r="J27" i="139"/>
  <c r="N26" i="139"/>
  <c r="M26" i="139"/>
  <c r="L26" i="139"/>
  <c r="K26" i="139"/>
  <c r="J26" i="139"/>
  <c r="N25" i="139"/>
  <c r="M25" i="139"/>
  <c r="L25" i="139"/>
  <c r="K25" i="139"/>
  <c r="J25" i="139"/>
  <c r="N24" i="139"/>
  <c r="M24" i="139"/>
  <c r="L24" i="139"/>
  <c r="K24" i="139"/>
  <c r="J24" i="139"/>
  <c r="N23" i="139"/>
  <c r="M23" i="139"/>
  <c r="L23" i="139"/>
  <c r="K23" i="139"/>
  <c r="J23" i="139"/>
  <c r="N22" i="139"/>
  <c r="M22" i="139"/>
  <c r="L22" i="139"/>
  <c r="K22" i="139"/>
  <c r="J22" i="139"/>
  <c r="N21" i="139"/>
  <c r="M21" i="139"/>
  <c r="L21" i="139"/>
  <c r="K21" i="139"/>
  <c r="J21" i="139"/>
  <c r="N20" i="139"/>
  <c r="M20" i="139"/>
  <c r="L20" i="139"/>
  <c r="K20" i="139"/>
  <c r="J20" i="139"/>
  <c r="N19" i="139"/>
  <c r="M19" i="139"/>
  <c r="L19" i="139"/>
  <c r="K19" i="139"/>
  <c r="J19" i="139"/>
  <c r="N18" i="139"/>
  <c r="M18" i="139"/>
  <c r="L18" i="139"/>
  <c r="K18" i="139"/>
  <c r="J18" i="139"/>
  <c r="N17" i="139"/>
  <c r="M17" i="139"/>
  <c r="L17" i="139"/>
  <c r="K17" i="139"/>
  <c r="J17" i="139"/>
  <c r="N16" i="139"/>
  <c r="M16" i="139"/>
  <c r="L16" i="139"/>
  <c r="K16" i="139"/>
  <c r="J16" i="139"/>
  <c r="N15" i="139"/>
  <c r="M15" i="139"/>
  <c r="L15" i="139"/>
  <c r="K15" i="139"/>
  <c r="J15" i="139"/>
  <c r="N14" i="139"/>
  <c r="M14" i="139"/>
  <c r="L14" i="139"/>
  <c r="K14" i="139"/>
  <c r="J14" i="139"/>
  <c r="N13" i="139"/>
  <c r="M13" i="139"/>
  <c r="L13" i="139"/>
  <c r="K13" i="139"/>
  <c r="J13" i="139"/>
  <c r="N12" i="139"/>
  <c r="M12" i="139"/>
  <c r="L12" i="139"/>
  <c r="K12" i="139"/>
  <c r="J12" i="139"/>
  <c r="N11" i="139"/>
  <c r="M11" i="139"/>
  <c r="L11" i="139"/>
  <c r="K11" i="139"/>
  <c r="J11" i="139"/>
  <c r="N46" i="90"/>
  <c r="M46" i="90"/>
  <c r="L46" i="90"/>
  <c r="K46" i="90"/>
  <c r="J46" i="90"/>
  <c r="N45" i="90"/>
  <c r="M45" i="90"/>
  <c r="L45" i="90"/>
  <c r="K45" i="90"/>
  <c r="J45" i="90"/>
  <c r="N44" i="90"/>
  <c r="M44" i="90"/>
  <c r="L44" i="90"/>
  <c r="K44" i="90"/>
  <c r="J44" i="90"/>
  <c r="N43" i="90"/>
  <c r="M43" i="90"/>
  <c r="L43" i="90"/>
  <c r="K43" i="90"/>
  <c r="J43" i="90"/>
  <c r="N42" i="90"/>
  <c r="M42" i="90"/>
  <c r="L42" i="90"/>
  <c r="K42" i="90"/>
  <c r="J42" i="90"/>
  <c r="N95" i="90"/>
  <c r="M95" i="90"/>
  <c r="L95" i="90"/>
  <c r="K95" i="90"/>
  <c r="J95" i="90"/>
  <c r="N94" i="90"/>
  <c r="M94" i="90"/>
  <c r="L94" i="90"/>
  <c r="K94" i="90"/>
  <c r="J94" i="90"/>
  <c r="N92" i="90"/>
  <c r="M92" i="90"/>
  <c r="L92" i="90"/>
  <c r="K92" i="90"/>
  <c r="J92" i="90"/>
  <c r="N91" i="90"/>
  <c r="M91" i="90"/>
  <c r="L91" i="90"/>
  <c r="K91" i="90"/>
  <c r="J91" i="90"/>
  <c r="N90" i="90"/>
  <c r="M90" i="90"/>
  <c r="L90" i="90"/>
  <c r="K90" i="90"/>
  <c r="J90" i="90"/>
  <c r="N89" i="90"/>
  <c r="M89" i="90"/>
  <c r="L89" i="90"/>
  <c r="K89" i="90"/>
  <c r="J89" i="90"/>
  <c r="N88" i="90"/>
  <c r="M88" i="90"/>
  <c r="L88" i="90"/>
  <c r="K88" i="90"/>
  <c r="J88" i="90"/>
  <c r="N84" i="90"/>
  <c r="M84" i="90"/>
  <c r="L84" i="90"/>
  <c r="K84" i="90"/>
  <c r="J84" i="90"/>
  <c r="N85" i="90"/>
  <c r="M85" i="90"/>
  <c r="L85" i="90"/>
  <c r="K85" i="90"/>
  <c r="J85" i="90"/>
  <c r="N146" i="90"/>
  <c r="M146" i="90"/>
  <c r="L146" i="90"/>
  <c r="K146" i="90"/>
  <c r="J146" i="90"/>
  <c r="J111" i="90"/>
  <c r="J110" i="90"/>
  <c r="J109" i="90"/>
  <c r="N111" i="90"/>
  <c r="M111" i="90"/>
  <c r="L111" i="90"/>
  <c r="K111" i="90"/>
  <c r="N110" i="90"/>
  <c r="M110" i="90"/>
  <c r="L110" i="90"/>
  <c r="K110" i="90"/>
  <c r="E90" i="74"/>
  <c r="E56" i="74"/>
  <c r="E99" i="163"/>
  <c r="E59" i="163"/>
  <c r="Q31" i="153"/>
  <c r="S31" i="153" s="1"/>
  <c r="P32" i="153"/>
  <c r="O32" i="153"/>
  <c r="O58" i="153"/>
  <c r="N32" i="153"/>
  <c r="N58" i="153"/>
  <c r="M32" i="153"/>
  <c r="L32" i="153"/>
  <c r="L58" i="153" s="1"/>
  <c r="K32" i="153"/>
  <c r="K58" i="153" s="1"/>
  <c r="J32" i="153"/>
  <c r="J58" i="153" s="1"/>
  <c r="I32" i="153"/>
  <c r="H32" i="153"/>
  <c r="G32" i="153"/>
  <c r="G58" i="153" s="1"/>
  <c r="F32" i="153"/>
  <c r="F58" i="153" s="1"/>
  <c r="E32" i="153"/>
  <c r="L147" i="90"/>
  <c r="J151" i="90"/>
  <c r="J150" i="90"/>
  <c r="J149" i="90"/>
  <c r="J148" i="90"/>
  <c r="J147" i="90"/>
  <c r="J156" i="90"/>
  <c r="J83" i="90"/>
  <c r="J48" i="90"/>
  <c r="K48" i="90"/>
  <c r="L48" i="90"/>
  <c r="M48" i="90"/>
  <c r="N48" i="90"/>
  <c r="N113" i="160"/>
  <c r="M113" i="160"/>
  <c r="L113" i="160"/>
  <c r="K113" i="160"/>
  <c r="J113" i="160"/>
  <c r="N50" i="160"/>
  <c r="M50" i="160"/>
  <c r="L50" i="160"/>
  <c r="K50" i="160"/>
  <c r="J50" i="160"/>
  <c r="H114" i="160"/>
  <c r="D31" i="159" s="1"/>
  <c r="H195" i="161"/>
  <c r="D44" i="159" s="1"/>
  <c r="H52" i="160"/>
  <c r="H11" i="162" s="1"/>
  <c r="O18" i="166"/>
  <c r="N18" i="166"/>
  <c r="O17" i="166"/>
  <c r="N17" i="166"/>
  <c r="N19" i="166" s="1"/>
  <c r="E106" i="165"/>
  <c r="F106" i="165"/>
  <c r="L94" i="129"/>
  <c r="E22" i="172"/>
  <c r="K43" i="171"/>
  <c r="M37" i="171"/>
  <c r="E81" i="157"/>
  <c r="K49" i="78"/>
  <c r="K38" i="78"/>
  <c r="M37" i="78"/>
  <c r="G21" i="78"/>
  <c r="G33" i="71"/>
  <c r="G58" i="86" s="1"/>
  <c r="L58" i="86" s="1"/>
  <c r="G24" i="147"/>
  <c r="G23" i="147"/>
  <c r="A3" i="95"/>
  <c r="A3" i="172"/>
  <c r="D64" i="172"/>
  <c r="C64" i="172"/>
  <c r="D58" i="172"/>
  <c r="D59" i="172"/>
  <c r="C58" i="172"/>
  <c r="E47" i="172"/>
  <c r="E45" i="172"/>
  <c r="E29" i="172"/>
  <c r="E24" i="172"/>
  <c r="A13" i="172"/>
  <c r="E225" i="156" s="1"/>
  <c r="D9" i="172"/>
  <c r="C9" i="172"/>
  <c r="A5" i="172"/>
  <c r="A4" i="172"/>
  <c r="A1" i="172"/>
  <c r="G188" i="171"/>
  <c r="M51" i="171"/>
  <c r="K49" i="171"/>
  <c r="K48" i="171"/>
  <c r="K47" i="171"/>
  <c r="K41" i="171"/>
  <c r="K40" i="171"/>
  <c r="K39" i="171"/>
  <c r="K38" i="171"/>
  <c r="M32" i="171"/>
  <c r="M23" i="171"/>
  <c r="A15" i="171"/>
  <c r="A16" i="171" s="1"/>
  <c r="A18" i="171" s="1"/>
  <c r="A19" i="171" s="1"/>
  <c r="A20" i="171" s="1"/>
  <c r="A21" i="171" s="1"/>
  <c r="A22" i="171" s="1"/>
  <c r="A23" i="171" s="1"/>
  <c r="A25" i="171" s="1"/>
  <c r="A26" i="171" s="1"/>
  <c r="A27" i="171" s="1"/>
  <c r="A28" i="171" s="1"/>
  <c r="A29" i="171" s="1"/>
  <c r="A31" i="171" s="1"/>
  <c r="A32" i="171" s="1"/>
  <c r="A33" i="171" s="1"/>
  <c r="A34" i="171" s="1"/>
  <c r="A36" i="171" s="1"/>
  <c r="A37" i="171" s="1"/>
  <c r="A38" i="171" s="1"/>
  <c r="A39" i="171" s="1"/>
  <c r="A40" i="171" s="1"/>
  <c r="A41" i="171" s="1"/>
  <c r="A42" i="171" s="1"/>
  <c r="A43" i="171" s="1"/>
  <c r="A44" i="171" s="1"/>
  <c r="A45" i="171" s="1"/>
  <c r="A46" i="171" s="1"/>
  <c r="A47" i="171" s="1"/>
  <c r="A48" i="171" s="1"/>
  <c r="A49" i="171" s="1"/>
  <c r="A50" i="171" s="1"/>
  <c r="A51" i="171" s="1"/>
  <c r="A53" i="171" s="1"/>
  <c r="C56" i="171" s="1"/>
  <c r="A4" i="171"/>
  <c r="A1" i="171"/>
  <c r="E52" i="170"/>
  <c r="K43" i="170"/>
  <c r="K41" i="170"/>
  <c r="A40" i="170"/>
  <c r="A41" i="170" s="1"/>
  <c r="A42" i="170" s="1"/>
  <c r="A43" i="170" s="1"/>
  <c r="A44" i="170" s="1"/>
  <c r="B6" i="170"/>
  <c r="A4" i="170"/>
  <c r="A1" i="170"/>
  <c r="F49" i="169"/>
  <c r="G141" i="156"/>
  <c r="L141" i="156"/>
  <c r="F40" i="169"/>
  <c r="G140" i="156" s="1"/>
  <c r="F30" i="169"/>
  <c r="G139" i="156"/>
  <c r="A15" i="169"/>
  <c r="A16" i="169" s="1"/>
  <c r="A17" i="169" s="1"/>
  <c r="A18" i="169" s="1"/>
  <c r="A19" i="169" s="1"/>
  <c r="A20" i="169" s="1"/>
  <c r="A21" i="169" s="1"/>
  <c r="A22" i="169" s="1"/>
  <c r="A23" i="169" s="1"/>
  <c r="A24" i="169" s="1"/>
  <c r="A25" i="169" s="1"/>
  <c r="A26" i="169" s="1"/>
  <c r="A27" i="169" s="1"/>
  <c r="A28" i="169" s="1"/>
  <c r="A30" i="169" s="1"/>
  <c r="D10" i="169"/>
  <c r="G20" i="168"/>
  <c r="G129" i="156" s="1"/>
  <c r="G130" i="156" s="1"/>
  <c r="G98" i="156" s="1"/>
  <c r="B12" i="168"/>
  <c r="B13" i="168" s="1"/>
  <c r="B14" i="168" s="1"/>
  <c r="B15" i="168" s="1"/>
  <c r="B16" i="168" s="1"/>
  <c r="B17" i="168" s="1"/>
  <c r="B18" i="168" s="1"/>
  <c r="B19" i="168" s="1"/>
  <c r="B20" i="168" s="1"/>
  <c r="G10" i="168"/>
  <c r="A4" i="168"/>
  <c r="A1" i="168"/>
  <c r="B13" i="167"/>
  <c r="B21" i="167" s="1"/>
  <c r="B28" i="167" s="1"/>
  <c r="B45" i="167" s="1"/>
  <c r="B47" i="167" s="1"/>
  <c r="B49" i="167" s="1"/>
  <c r="B51" i="167" s="1"/>
  <c r="A5" i="167"/>
  <c r="A2" i="167"/>
  <c r="A1" i="169" s="1"/>
  <c r="A91" i="166"/>
  <c r="C83" i="166"/>
  <c r="S35" i="166" s="1"/>
  <c r="C77" i="166"/>
  <c r="C75" i="166"/>
  <c r="C74" i="166"/>
  <c r="C72" i="166"/>
  <c r="C71" i="166"/>
  <c r="C69" i="166"/>
  <c r="C58" i="166"/>
  <c r="C57" i="166"/>
  <c r="C55" i="166"/>
  <c r="C52" i="166"/>
  <c r="C51" i="166"/>
  <c r="S50" i="166"/>
  <c r="S49" i="166"/>
  <c r="S48" i="166"/>
  <c r="C48" i="166"/>
  <c r="S47" i="166"/>
  <c r="C47" i="166"/>
  <c r="C38" i="166"/>
  <c r="C37" i="166"/>
  <c r="C26" i="166"/>
  <c r="C20" i="166"/>
  <c r="S19" i="166"/>
  <c r="S18" i="166"/>
  <c r="S17" i="166"/>
  <c r="S16" i="166"/>
  <c r="L94" i="166"/>
  <c r="S15" i="166"/>
  <c r="S14" i="166"/>
  <c r="R14" i="166"/>
  <c r="C12" i="166"/>
  <c r="A11" i="166"/>
  <c r="A12" i="166" s="1"/>
  <c r="A13" i="166" s="1"/>
  <c r="A14" i="166" s="1"/>
  <c r="A15" i="166" s="1"/>
  <c r="A16" i="166" s="1"/>
  <c r="A17" i="166" s="1"/>
  <c r="A18" i="166" s="1"/>
  <c r="A22" i="166" s="1"/>
  <c r="A23" i="166" s="1"/>
  <c r="A24" i="166" s="1"/>
  <c r="A28" i="166" s="1"/>
  <c r="A29" i="166" s="1"/>
  <c r="A30" i="166" s="1"/>
  <c r="A31" i="166" s="1"/>
  <c r="A32" i="166" s="1"/>
  <c r="A33" i="166" s="1"/>
  <c r="A34" i="166" s="1"/>
  <c r="A35" i="166" s="1"/>
  <c r="A41" i="166" s="1"/>
  <c r="A42" i="166" s="1"/>
  <c r="A43" i="166" s="1"/>
  <c r="A44" i="166" s="1"/>
  <c r="A45" i="166" s="1"/>
  <c r="A48" i="166" s="1"/>
  <c r="A49" i="166" s="1"/>
  <c r="A50" i="166" s="1"/>
  <c r="A51" i="166" s="1"/>
  <c r="A52" i="166" s="1"/>
  <c r="A53" i="166" s="1"/>
  <c r="A54" i="166" s="1"/>
  <c r="A55" i="166" s="1"/>
  <c r="A58" i="166" s="1"/>
  <c r="A59" i="166" s="1"/>
  <c r="A60" i="166" s="1"/>
  <c r="A61" i="166" s="1"/>
  <c r="A62" i="166" s="1"/>
  <c r="A63" i="166" s="1"/>
  <c r="A64" i="166" s="1"/>
  <c r="A65" i="166" s="1"/>
  <c r="A66" i="166" s="1"/>
  <c r="A67" i="166" s="1"/>
  <c r="A70" i="166" s="1"/>
  <c r="A71" i="166" s="1"/>
  <c r="A72" i="166" s="1"/>
  <c r="A74" i="166" s="1"/>
  <c r="A75" i="166" s="1"/>
  <c r="A76" i="166" s="1"/>
  <c r="A77" i="166" s="1"/>
  <c r="A80" i="166" s="1"/>
  <c r="A81" i="166" s="1"/>
  <c r="A83" i="166" s="1"/>
  <c r="A84" i="166" s="1"/>
  <c r="A85" i="166" s="1"/>
  <c r="A86" i="166" s="1"/>
  <c r="A87" i="166" s="1"/>
  <c r="F10" i="166"/>
  <c r="C8" i="166"/>
  <c r="C6" i="166"/>
  <c r="A4" i="166"/>
  <c r="A1" i="166"/>
  <c r="N161" i="165"/>
  <c r="L161" i="165"/>
  <c r="C161" i="165"/>
  <c r="N160" i="165"/>
  <c r="L160" i="165"/>
  <c r="C160" i="165"/>
  <c r="N159" i="165"/>
  <c r="L159" i="165"/>
  <c r="C159" i="165"/>
  <c r="N158" i="165"/>
  <c r="L158" i="165"/>
  <c r="C158" i="165"/>
  <c r="N157" i="165"/>
  <c r="L157" i="165"/>
  <c r="C157" i="165"/>
  <c r="N156" i="165"/>
  <c r="L156" i="165"/>
  <c r="C156" i="165"/>
  <c r="N155" i="165"/>
  <c r="L155" i="165"/>
  <c r="C155" i="165"/>
  <c r="N154" i="165"/>
  <c r="L154" i="165"/>
  <c r="C154" i="165"/>
  <c r="N153" i="165"/>
  <c r="L153" i="165"/>
  <c r="C153" i="165"/>
  <c r="N152" i="165"/>
  <c r="L152" i="165"/>
  <c r="C152" i="165"/>
  <c r="N151" i="165"/>
  <c r="L151" i="165"/>
  <c r="C151" i="165"/>
  <c r="N150" i="165"/>
  <c r="L150" i="165"/>
  <c r="C150" i="165"/>
  <c r="N149" i="165"/>
  <c r="O149" i="165" s="1"/>
  <c r="L149" i="165"/>
  <c r="C149" i="165"/>
  <c r="N148" i="165"/>
  <c r="L148" i="165"/>
  <c r="C148" i="165"/>
  <c r="N147" i="165"/>
  <c r="L147" i="165"/>
  <c r="C147" i="165"/>
  <c r="N146" i="165"/>
  <c r="L146" i="165"/>
  <c r="C146" i="165"/>
  <c r="N145" i="165"/>
  <c r="L145" i="165"/>
  <c r="C145" i="165"/>
  <c r="N144" i="165"/>
  <c r="O144" i="165" s="1"/>
  <c r="L144" i="165"/>
  <c r="C144" i="165"/>
  <c r="N143" i="165"/>
  <c r="O143" i="165" s="1"/>
  <c r="L143" i="165"/>
  <c r="C143" i="165"/>
  <c r="N142" i="165"/>
  <c r="L142" i="165"/>
  <c r="C142" i="165"/>
  <c r="N141" i="165"/>
  <c r="O141" i="165" s="1"/>
  <c r="L141" i="165"/>
  <c r="C141" i="165"/>
  <c r="N140" i="165"/>
  <c r="L140" i="165"/>
  <c r="C140" i="165"/>
  <c r="N139" i="165"/>
  <c r="L139" i="165"/>
  <c r="C139" i="165"/>
  <c r="N138" i="165"/>
  <c r="L138" i="165"/>
  <c r="C138" i="165"/>
  <c r="N137" i="165"/>
  <c r="L137" i="165"/>
  <c r="C137" i="165"/>
  <c r="N136" i="165"/>
  <c r="L136" i="165"/>
  <c r="C136" i="165"/>
  <c r="N135" i="165"/>
  <c r="L135" i="165"/>
  <c r="C135" i="165"/>
  <c r="N134" i="165"/>
  <c r="L134" i="165"/>
  <c r="C134" i="165"/>
  <c r="N133" i="165"/>
  <c r="O133" i="165" s="1"/>
  <c r="L133" i="165"/>
  <c r="C133" i="165"/>
  <c r="N132" i="165"/>
  <c r="L132" i="165"/>
  <c r="C132" i="165"/>
  <c r="N131" i="165"/>
  <c r="L131" i="165"/>
  <c r="C131" i="165"/>
  <c r="N130" i="165"/>
  <c r="L130" i="165"/>
  <c r="C130" i="165"/>
  <c r="N129" i="165"/>
  <c r="L129" i="165"/>
  <c r="C129" i="165"/>
  <c r="N128" i="165"/>
  <c r="L128" i="165"/>
  <c r="C128" i="165"/>
  <c r="N127" i="165"/>
  <c r="L127" i="165"/>
  <c r="C127" i="165"/>
  <c r="N126" i="165"/>
  <c r="L126" i="165"/>
  <c r="C126" i="165"/>
  <c r="N125" i="165"/>
  <c r="L125" i="165"/>
  <c r="C125" i="165"/>
  <c r="N124" i="165"/>
  <c r="L124" i="165"/>
  <c r="C124" i="165"/>
  <c r="N123" i="165"/>
  <c r="L123" i="165"/>
  <c r="C123" i="165"/>
  <c r="N122" i="165"/>
  <c r="L122" i="165"/>
  <c r="C122" i="165"/>
  <c r="N121" i="165"/>
  <c r="L121" i="165"/>
  <c r="C121" i="165"/>
  <c r="N120" i="165"/>
  <c r="L120" i="165"/>
  <c r="C120" i="165"/>
  <c r="N119" i="165"/>
  <c r="L119" i="165"/>
  <c r="C119" i="165"/>
  <c r="N118" i="165"/>
  <c r="L118" i="165"/>
  <c r="C118" i="165"/>
  <c r="N117" i="165"/>
  <c r="O117" i="165" s="1"/>
  <c r="L117" i="165"/>
  <c r="C117" i="165"/>
  <c r="N116" i="165"/>
  <c r="L116" i="165"/>
  <c r="C116" i="165"/>
  <c r="N115" i="165"/>
  <c r="L115" i="165"/>
  <c r="C115" i="165"/>
  <c r="N114" i="165"/>
  <c r="L114" i="165"/>
  <c r="C114" i="165"/>
  <c r="N113" i="165"/>
  <c r="O113" i="165"/>
  <c r="L113" i="165"/>
  <c r="C113" i="165"/>
  <c r="N112" i="165"/>
  <c r="O112" i="165"/>
  <c r="L112" i="165"/>
  <c r="C112" i="165"/>
  <c r="N111" i="165"/>
  <c r="O111" i="165"/>
  <c r="L111" i="165"/>
  <c r="C111" i="165"/>
  <c r="N110" i="165"/>
  <c r="L110" i="165"/>
  <c r="C110" i="165"/>
  <c r="N109" i="165"/>
  <c r="L109" i="165"/>
  <c r="C109" i="165"/>
  <c r="N108" i="165"/>
  <c r="L108" i="165"/>
  <c r="C108" i="165"/>
  <c r="N107" i="165"/>
  <c r="L107" i="165"/>
  <c r="C107" i="165"/>
  <c r="N106" i="165"/>
  <c r="L106" i="165"/>
  <c r="C106" i="165"/>
  <c r="I103" i="165"/>
  <c r="K100" i="165"/>
  <c r="I100" i="165"/>
  <c r="N96" i="165"/>
  <c r="A90" i="165"/>
  <c r="C83" i="165"/>
  <c r="Q34" i="165"/>
  <c r="C77" i="165"/>
  <c r="C75" i="165"/>
  <c r="C74" i="165"/>
  <c r="C72" i="165"/>
  <c r="C71" i="165"/>
  <c r="C69" i="165"/>
  <c r="C58" i="165"/>
  <c r="C57" i="165"/>
  <c r="C55" i="165"/>
  <c r="C52" i="165"/>
  <c r="C51" i="165"/>
  <c r="C48" i="165"/>
  <c r="C47" i="165"/>
  <c r="C38" i="165"/>
  <c r="C37" i="165"/>
  <c r="C26" i="165"/>
  <c r="C20" i="165"/>
  <c r="N18" i="165"/>
  <c r="M18" i="165"/>
  <c r="L18" i="165"/>
  <c r="G22" i="156" s="1"/>
  <c r="L22" i="156" s="1"/>
  <c r="K18" i="165"/>
  <c r="I99" i="165"/>
  <c r="P13" i="165"/>
  <c r="C12" i="165"/>
  <c r="A11" i="165"/>
  <c r="A12" i="165"/>
  <c r="A13" i="165" s="1"/>
  <c r="A14" i="165" s="1"/>
  <c r="A15" i="165" s="1"/>
  <c r="A16" i="165"/>
  <c r="A17" i="165" s="1"/>
  <c r="A18" i="165" s="1"/>
  <c r="A22" i="165" s="1"/>
  <c r="A23" i="165" s="1"/>
  <c r="A24" i="165" s="1"/>
  <c r="A28" i="165" s="1"/>
  <c r="A29" i="165" s="1"/>
  <c r="A30" i="165" s="1"/>
  <c r="A31" i="165" s="1"/>
  <c r="A32" i="165" s="1"/>
  <c r="A33" i="165" s="1"/>
  <c r="A34" i="165" s="1"/>
  <c r="A35" i="165" s="1"/>
  <c r="A41" i="165" s="1"/>
  <c r="A42" i="165" s="1"/>
  <c r="A43" i="165" s="1"/>
  <c r="A44" i="165" s="1"/>
  <c r="A45" i="165" s="1"/>
  <c r="A48" i="165" s="1"/>
  <c r="A49" i="165" s="1"/>
  <c r="A50" i="165" s="1"/>
  <c r="A51" i="165" s="1"/>
  <c r="A52" i="165" s="1"/>
  <c r="A53" i="165" s="1"/>
  <c r="A54" i="165" s="1"/>
  <c r="A55" i="165" s="1"/>
  <c r="A58" i="165" s="1"/>
  <c r="A59" i="165" s="1"/>
  <c r="A60" i="165" s="1"/>
  <c r="A61" i="165" s="1"/>
  <c r="A62" i="165" s="1"/>
  <c r="A63" i="165" s="1"/>
  <c r="A64" i="165" s="1"/>
  <c r="A65" i="165" s="1"/>
  <c r="A66" i="165" s="1"/>
  <c r="A67" i="165" s="1"/>
  <c r="A70" i="165" s="1"/>
  <c r="A71" i="165" s="1"/>
  <c r="A72" i="165" s="1"/>
  <c r="A74" i="165" s="1"/>
  <c r="A75" i="165" s="1"/>
  <c r="A76" i="165" s="1"/>
  <c r="A77" i="165" s="1"/>
  <c r="A80" i="165" s="1"/>
  <c r="A81" i="165" s="1"/>
  <c r="A83" i="165" s="1"/>
  <c r="A84" i="165" s="1"/>
  <c r="A85" i="165" s="1"/>
  <c r="A86" i="165" s="1"/>
  <c r="A87" i="165" s="1"/>
  <c r="F10" i="165"/>
  <c r="F12" i="165"/>
  <c r="E17" i="165" s="1"/>
  <c r="C8" i="165"/>
  <c r="C6" i="165"/>
  <c r="A4" i="165"/>
  <c r="A1" i="165"/>
  <c r="A13" i="164"/>
  <c r="A15" i="164"/>
  <c r="A16" i="164"/>
  <c r="A17" i="164" s="1"/>
  <c r="A19" i="164" s="1"/>
  <c r="G182" i="156"/>
  <c r="L182" i="156"/>
  <c r="C7" i="164"/>
  <c r="A4" i="164"/>
  <c r="A1" i="164"/>
  <c r="G112" i="163"/>
  <c r="G30" i="163" s="1"/>
  <c r="D112" i="163"/>
  <c r="D30" i="163" s="1"/>
  <c r="D31" i="163" s="1"/>
  <c r="K101" i="163"/>
  <c r="E101" i="163"/>
  <c r="K100" i="163"/>
  <c r="K99" i="163"/>
  <c r="K98" i="163"/>
  <c r="K97" i="163"/>
  <c r="K96" i="163"/>
  <c r="K95" i="163"/>
  <c r="K94" i="163"/>
  <c r="E94" i="163"/>
  <c r="K93" i="163"/>
  <c r="E93" i="163"/>
  <c r="K92" i="163"/>
  <c r="E92" i="163"/>
  <c r="K91" i="163"/>
  <c r="K90" i="163"/>
  <c r="E90" i="163"/>
  <c r="K89" i="163"/>
  <c r="E89" i="163"/>
  <c r="K88" i="163"/>
  <c r="E88" i="163"/>
  <c r="K87" i="163"/>
  <c r="E87" i="163"/>
  <c r="K86" i="163"/>
  <c r="E86" i="163"/>
  <c r="I85" i="163"/>
  <c r="K85" i="163" s="1"/>
  <c r="J84" i="163"/>
  <c r="K83" i="163"/>
  <c r="E83" i="163"/>
  <c r="K82" i="163"/>
  <c r="E82" i="163"/>
  <c r="K81" i="163"/>
  <c r="E81" i="163"/>
  <c r="I80" i="163"/>
  <c r="K80" i="163"/>
  <c r="K79" i="163"/>
  <c r="G71" i="163"/>
  <c r="G29" i="163" s="1"/>
  <c r="D71" i="163"/>
  <c r="D29" i="163" s="1"/>
  <c r="K69" i="163"/>
  <c r="H69" i="163"/>
  <c r="F69" i="163"/>
  <c r="K68" i="163"/>
  <c r="H68" i="163"/>
  <c r="F68" i="163"/>
  <c r="K67" i="163"/>
  <c r="H67" i="163"/>
  <c r="F67" i="163"/>
  <c r="K66" i="163"/>
  <c r="H66" i="163"/>
  <c r="F66" i="163"/>
  <c r="K65" i="163"/>
  <c r="H65" i="163"/>
  <c r="F65" i="163"/>
  <c r="K64" i="163"/>
  <c r="H64" i="163"/>
  <c r="F64" i="163"/>
  <c r="K63" i="163"/>
  <c r="H63" i="163"/>
  <c r="F63" i="163"/>
  <c r="K62" i="163"/>
  <c r="H62" i="163"/>
  <c r="F62" i="163"/>
  <c r="K61" i="163"/>
  <c r="E61" i="163"/>
  <c r="K60" i="163"/>
  <c r="K58" i="163"/>
  <c r="K57" i="163"/>
  <c r="K56" i="163"/>
  <c r="K55" i="163"/>
  <c r="K54" i="163"/>
  <c r="E54" i="163"/>
  <c r="K53" i="163"/>
  <c r="E53" i="163"/>
  <c r="K52" i="163"/>
  <c r="E52" i="163"/>
  <c r="K51" i="163"/>
  <c r="K50" i="163"/>
  <c r="E50" i="163"/>
  <c r="K49" i="163"/>
  <c r="E49" i="163"/>
  <c r="K48" i="163"/>
  <c r="E48" i="163"/>
  <c r="K47" i="163"/>
  <c r="E47" i="163"/>
  <c r="K46" i="163"/>
  <c r="E46" i="163"/>
  <c r="I45" i="163"/>
  <c r="K45" i="163" s="1"/>
  <c r="J44" i="163"/>
  <c r="J71" i="163" s="1"/>
  <c r="J29" i="163" s="1"/>
  <c r="K43" i="163"/>
  <c r="H43" i="163"/>
  <c r="F43" i="163"/>
  <c r="E43" i="163"/>
  <c r="K42" i="163"/>
  <c r="H42" i="163"/>
  <c r="F42" i="163"/>
  <c r="E42" i="163"/>
  <c r="K41" i="163"/>
  <c r="H41" i="163"/>
  <c r="F41" i="163"/>
  <c r="E41" i="163"/>
  <c r="K40" i="163"/>
  <c r="H40" i="163"/>
  <c r="F40" i="163"/>
  <c r="K39" i="163"/>
  <c r="H39" i="163"/>
  <c r="F39" i="163"/>
  <c r="D36" i="163"/>
  <c r="C30" i="163"/>
  <c r="C29" i="163"/>
  <c r="E21" i="163"/>
  <c r="E19" i="163"/>
  <c r="I19" i="163"/>
  <c r="G100" i="156" s="1"/>
  <c r="G17" i="163"/>
  <c r="I16" i="163"/>
  <c r="A16" i="163"/>
  <c r="A17" i="163" s="1"/>
  <c r="E15" i="163"/>
  <c r="E17" i="163" s="1"/>
  <c r="I10" i="163"/>
  <c r="G10" i="163"/>
  <c r="E10" i="163"/>
  <c r="A4" i="163"/>
  <c r="A1" i="163"/>
  <c r="F57" i="162"/>
  <c r="G57" i="162"/>
  <c r="G56" i="162"/>
  <c r="G55" i="162"/>
  <c r="G54" i="162"/>
  <c r="G53" i="162"/>
  <c r="G52" i="162"/>
  <c r="G51" i="162"/>
  <c r="G50" i="162"/>
  <c r="G49" i="162"/>
  <c r="G48" i="162"/>
  <c r="G47" i="162"/>
  <c r="G46" i="162"/>
  <c r="G45" i="162"/>
  <c r="C45" i="162"/>
  <c r="H40" i="162"/>
  <c r="H41" i="162" s="1"/>
  <c r="F30" i="162"/>
  <c r="G30" i="162" s="1"/>
  <c r="G29" i="162"/>
  <c r="G28" i="162"/>
  <c r="G27" i="162"/>
  <c r="G26" i="162"/>
  <c r="G25" i="162"/>
  <c r="G24" i="162"/>
  <c r="G23" i="162"/>
  <c r="G22" i="162"/>
  <c r="G21" i="162"/>
  <c r="G20" i="162"/>
  <c r="G19" i="162"/>
  <c r="G18" i="162"/>
  <c r="A12" i="162"/>
  <c r="E13" i="162" s="1"/>
  <c r="A5" i="162"/>
  <c r="A3" i="162"/>
  <c r="A2" i="162"/>
  <c r="N193" i="161"/>
  <c r="M193" i="161"/>
  <c r="L193" i="161"/>
  <c r="K193" i="161"/>
  <c r="J193" i="161"/>
  <c r="N117" i="161"/>
  <c r="M117" i="161"/>
  <c r="M195" i="161"/>
  <c r="H44" i="159" s="1"/>
  <c r="L117" i="161"/>
  <c r="K117" i="161"/>
  <c r="J117" i="161"/>
  <c r="N111" i="161"/>
  <c r="M111" i="161"/>
  <c r="L111" i="161"/>
  <c r="J111" i="161"/>
  <c r="N9" i="161"/>
  <c r="M9" i="161"/>
  <c r="L9" i="161"/>
  <c r="K9" i="161"/>
  <c r="J9" i="161"/>
  <c r="C5" i="161"/>
  <c r="C3" i="161"/>
  <c r="C2" i="161"/>
  <c r="H195" i="160"/>
  <c r="D43" i="159" s="1"/>
  <c r="N192" i="160"/>
  <c r="M192" i="160"/>
  <c r="L192" i="160"/>
  <c r="K192" i="160"/>
  <c r="J192" i="160"/>
  <c r="N118" i="160"/>
  <c r="M118" i="160"/>
  <c r="L118" i="160"/>
  <c r="K118" i="160"/>
  <c r="J118" i="160"/>
  <c r="J112" i="160"/>
  <c r="N56" i="160"/>
  <c r="M56" i="160"/>
  <c r="L56" i="160"/>
  <c r="K56" i="160"/>
  <c r="N10" i="160"/>
  <c r="N52" i="160" s="1"/>
  <c r="I18" i="159" s="1"/>
  <c r="M10" i="160"/>
  <c r="C5" i="160"/>
  <c r="C3" i="160"/>
  <c r="C2" i="160"/>
  <c r="D60" i="159"/>
  <c r="D61" i="159"/>
  <c r="G90" i="156" s="1"/>
  <c r="G60" i="159"/>
  <c r="G61" i="159" s="1"/>
  <c r="C58" i="159"/>
  <c r="C57" i="159"/>
  <c r="F36" i="159"/>
  <c r="E36" i="159"/>
  <c r="C19" i="159"/>
  <c r="A19" i="159"/>
  <c r="A21" i="159" s="1"/>
  <c r="A22" i="159" s="1"/>
  <c r="A23" i="159" s="1"/>
  <c r="C18" i="159"/>
  <c r="C31" i="159" s="1"/>
  <c r="A4" i="159"/>
  <c r="A1" i="159"/>
  <c r="A4" i="158"/>
  <c r="A1" i="158"/>
  <c r="G101" i="157"/>
  <c r="L93" i="156"/>
  <c r="F61" i="157"/>
  <c r="E61" i="157"/>
  <c r="G60" i="157"/>
  <c r="G59" i="157"/>
  <c r="G56" i="157"/>
  <c r="G52" i="157"/>
  <c r="G48" i="157"/>
  <c r="F29" i="157"/>
  <c r="G29" i="157" s="1"/>
  <c r="G56" i="156" s="1"/>
  <c r="E29" i="157"/>
  <c r="G28" i="157"/>
  <c r="G27" i="157"/>
  <c r="G24" i="157"/>
  <c r="G20" i="157"/>
  <c r="G16" i="157"/>
  <c r="A16" i="157"/>
  <c r="A17" i="157" s="1"/>
  <c r="A11" i="157"/>
  <c r="F8" i="157"/>
  <c r="E8" i="157"/>
  <c r="G7" i="157"/>
  <c r="A4" i="157"/>
  <c r="A4" i="169"/>
  <c r="A2" i="157"/>
  <c r="A1" i="157"/>
  <c r="D311" i="156"/>
  <c r="D304" i="156"/>
  <c r="D270" i="156"/>
  <c r="E224" i="156"/>
  <c r="D182" i="156"/>
  <c r="L122" i="156"/>
  <c r="I122" i="156"/>
  <c r="G122" i="156"/>
  <c r="E122" i="156"/>
  <c r="L121" i="156"/>
  <c r="E121" i="156"/>
  <c r="G95" i="156"/>
  <c r="L95" i="156" s="1"/>
  <c r="D73" i="156"/>
  <c r="D81" i="156"/>
  <c r="D71" i="156"/>
  <c r="D80" i="156" s="1"/>
  <c r="D69" i="156"/>
  <c r="D79" i="156"/>
  <c r="D67" i="156"/>
  <c r="D78" i="156" s="1"/>
  <c r="D65" i="156"/>
  <c r="D77" i="156"/>
  <c r="B52" i="156"/>
  <c r="B124" i="156" s="1"/>
  <c r="B51" i="156"/>
  <c r="B123" i="156"/>
  <c r="F45" i="156"/>
  <c r="F117" i="156" s="1"/>
  <c r="F196" i="156" s="1"/>
  <c r="F241" i="156" s="1"/>
  <c r="F42" i="156"/>
  <c r="F114" i="156" s="1"/>
  <c r="F193" i="156" s="1"/>
  <c r="F238" i="156"/>
  <c r="F41" i="156"/>
  <c r="F113" i="156" s="1"/>
  <c r="F192" i="156" s="1"/>
  <c r="F237" i="156" s="1"/>
  <c r="L15" i="156"/>
  <c r="M17" i="178" s="1"/>
  <c r="B13" i="156"/>
  <c r="B15" i="156"/>
  <c r="B17" i="156" s="1"/>
  <c r="B22" i="156"/>
  <c r="B24" i="156" s="1"/>
  <c r="B25" i="156" s="1"/>
  <c r="F5" i="156"/>
  <c r="F43" i="156"/>
  <c r="F115" i="156" s="1"/>
  <c r="F194" i="156" s="1"/>
  <c r="F239" i="156" s="1"/>
  <c r="N40" i="90"/>
  <c r="M40" i="90"/>
  <c r="L40" i="90"/>
  <c r="K40" i="90"/>
  <c r="J40" i="90"/>
  <c r="N49" i="139"/>
  <c r="M49" i="139"/>
  <c r="L49" i="139"/>
  <c r="K49" i="139"/>
  <c r="J49" i="139"/>
  <c r="N55" i="90"/>
  <c r="M55" i="90"/>
  <c r="L55" i="90"/>
  <c r="K55" i="90"/>
  <c r="J55" i="90"/>
  <c r="H162" i="139"/>
  <c r="D43" i="89"/>
  <c r="K98" i="74"/>
  <c r="H98" i="74"/>
  <c r="F98" i="74"/>
  <c r="K97" i="74"/>
  <c r="H97" i="74"/>
  <c r="H63" i="74" s="1"/>
  <c r="F97" i="74"/>
  <c r="F63" i="74"/>
  <c r="K96" i="74"/>
  <c r="H96" i="74"/>
  <c r="H62" i="74"/>
  <c r="F96" i="74"/>
  <c r="F62" i="74" s="1"/>
  <c r="K95" i="74"/>
  <c r="K94" i="74"/>
  <c r="J93" i="74"/>
  <c r="K93" i="74" s="1"/>
  <c r="K92" i="74"/>
  <c r="E92" i="74"/>
  <c r="J91" i="74"/>
  <c r="K90" i="74"/>
  <c r="J89" i="74"/>
  <c r="K89" i="74"/>
  <c r="J88" i="74"/>
  <c r="K88" i="74" s="1"/>
  <c r="J87" i="74"/>
  <c r="K87" i="74"/>
  <c r="J86" i="74"/>
  <c r="K85" i="74"/>
  <c r="E85" i="74"/>
  <c r="K84" i="74"/>
  <c r="E84" i="74"/>
  <c r="K83" i="74"/>
  <c r="K82" i="74"/>
  <c r="E82" i="74"/>
  <c r="K81" i="74"/>
  <c r="E81" i="74"/>
  <c r="K80" i="74"/>
  <c r="E80" i="74"/>
  <c r="I79" i="74"/>
  <c r="I106" i="74" s="1"/>
  <c r="I30" i="74" s="1"/>
  <c r="J78" i="74"/>
  <c r="K78" i="74"/>
  <c r="K77" i="74"/>
  <c r="H77" i="74"/>
  <c r="F77" i="74"/>
  <c r="E77" i="74"/>
  <c r="K76" i="74"/>
  <c r="H76" i="74"/>
  <c r="H42" i="74"/>
  <c r="F76" i="74"/>
  <c r="F42" i="74" s="1"/>
  <c r="E76" i="74"/>
  <c r="K75" i="74"/>
  <c r="H75" i="74"/>
  <c r="F75" i="74"/>
  <c r="F41" i="74" s="1"/>
  <c r="E75" i="74"/>
  <c r="K74" i="74"/>
  <c r="H74" i="74"/>
  <c r="H40" i="74" s="1"/>
  <c r="F74" i="74"/>
  <c r="F40" i="74"/>
  <c r="K73" i="74"/>
  <c r="H73" i="74"/>
  <c r="H39" i="74"/>
  <c r="F73" i="74"/>
  <c r="F39" i="74" s="1"/>
  <c r="J55" i="74"/>
  <c r="K55" i="74"/>
  <c r="J54" i="74"/>
  <c r="K54" i="74" s="1"/>
  <c r="J53" i="74"/>
  <c r="J52" i="74"/>
  <c r="K52" i="74"/>
  <c r="E51" i="74"/>
  <c r="E46" i="74"/>
  <c r="J57" i="74"/>
  <c r="K57" i="74"/>
  <c r="E58" i="74"/>
  <c r="K56" i="74"/>
  <c r="M44" i="78"/>
  <c r="K42" i="78"/>
  <c r="M51" i="78"/>
  <c r="M23" i="78"/>
  <c r="K50" i="74"/>
  <c r="K58" i="74"/>
  <c r="J59" i="74"/>
  <c r="K59" i="74" s="1"/>
  <c r="K61" i="74"/>
  <c r="K60" i="74"/>
  <c r="K51" i="74"/>
  <c r="E50" i="74"/>
  <c r="K49" i="74"/>
  <c r="K48" i="74"/>
  <c r="E48" i="74"/>
  <c r="K47" i="74"/>
  <c r="E47" i="74"/>
  <c r="K46" i="74"/>
  <c r="I45" i="74"/>
  <c r="K45" i="74" s="1"/>
  <c r="J44" i="74"/>
  <c r="K44" i="74"/>
  <c r="E43" i="74"/>
  <c r="E42" i="74"/>
  <c r="E41" i="74"/>
  <c r="B15" i="147"/>
  <c r="B17" i="147" s="1"/>
  <c r="B19" i="147" s="1"/>
  <c r="B21" i="147" s="1"/>
  <c r="B22" i="147" s="1"/>
  <c r="B23" i="147" s="1"/>
  <c r="B24" i="147" s="1"/>
  <c r="B25" i="147" s="1"/>
  <c r="A11" i="71"/>
  <c r="D304" i="86"/>
  <c r="K50" i="78"/>
  <c r="M46" i="78"/>
  <c r="M45" i="78"/>
  <c r="K43" i="78"/>
  <c r="M15" i="78"/>
  <c r="I16" i="74"/>
  <c r="G17" i="74"/>
  <c r="A16" i="74"/>
  <c r="A17" i="74"/>
  <c r="E15" i="74"/>
  <c r="E17" i="74" s="1"/>
  <c r="G27" i="71"/>
  <c r="G24" i="71"/>
  <c r="N10" i="90"/>
  <c r="M10" i="90"/>
  <c r="L10" i="90"/>
  <c r="K10" i="90"/>
  <c r="J10" i="90"/>
  <c r="G60" i="71"/>
  <c r="G52" i="71"/>
  <c r="G48" i="71"/>
  <c r="G20" i="71"/>
  <c r="G28" i="71"/>
  <c r="F61" i="71"/>
  <c r="E61" i="71"/>
  <c r="E29" i="71"/>
  <c r="A16" i="71"/>
  <c r="A17" i="71"/>
  <c r="A14" i="153"/>
  <c r="A15" i="153" s="1"/>
  <c r="A16" i="153" s="1"/>
  <c r="A17" i="153" s="1"/>
  <c r="A18" i="153" s="1"/>
  <c r="A19" i="153" s="1"/>
  <c r="A20" i="153" s="1"/>
  <c r="A21" i="153" s="1"/>
  <c r="A22" i="153" s="1"/>
  <c r="A23" i="153" s="1"/>
  <c r="A24" i="153" s="1"/>
  <c r="A25" i="153" s="1"/>
  <c r="A26" i="153" s="1"/>
  <c r="A27" i="153" s="1"/>
  <c r="A28" i="153" s="1"/>
  <c r="A29" i="153" s="1"/>
  <c r="A30" i="153" s="1"/>
  <c r="A31" i="153" s="1"/>
  <c r="A32" i="153" s="1"/>
  <c r="L15" i="86"/>
  <c r="K17" i="178" s="1"/>
  <c r="I17" i="178" s="1"/>
  <c r="B13" i="86"/>
  <c r="K43" i="94"/>
  <c r="K41" i="94"/>
  <c r="F57" i="145"/>
  <c r="G57" i="145" s="1"/>
  <c r="G56" i="145"/>
  <c r="G55" i="145"/>
  <c r="G54" i="145"/>
  <c r="G53" i="145"/>
  <c r="G52" i="145"/>
  <c r="G51" i="145"/>
  <c r="G50" i="145"/>
  <c r="G49" i="145"/>
  <c r="G48" i="145"/>
  <c r="G47" i="145"/>
  <c r="G46" i="145"/>
  <c r="G45" i="145"/>
  <c r="C45" i="145"/>
  <c r="H40" i="145"/>
  <c r="H41" i="145" s="1"/>
  <c r="C56" i="145" s="1"/>
  <c r="G10" i="91"/>
  <c r="G95" i="86"/>
  <c r="L95" i="86" s="1"/>
  <c r="E224" i="86"/>
  <c r="B13" i="96"/>
  <c r="B21" i="96" s="1"/>
  <c r="B28" i="96" s="1"/>
  <c r="B45" i="96" s="1"/>
  <c r="B47" i="96" s="1"/>
  <c r="B49" i="96" s="1"/>
  <c r="C51" i="96" s="1"/>
  <c r="K63" i="74"/>
  <c r="K62" i="74"/>
  <c r="N160" i="90"/>
  <c r="M160" i="90"/>
  <c r="L160" i="90"/>
  <c r="K160" i="90"/>
  <c r="J160" i="90"/>
  <c r="N159" i="90"/>
  <c r="M159" i="90"/>
  <c r="L159" i="90"/>
  <c r="K159" i="90"/>
  <c r="J159" i="90"/>
  <c r="N157" i="90"/>
  <c r="M157" i="90"/>
  <c r="L157" i="90"/>
  <c r="K157" i="90"/>
  <c r="J157" i="90"/>
  <c r="N155" i="90"/>
  <c r="M155" i="90"/>
  <c r="L155" i="90"/>
  <c r="K155" i="90"/>
  <c r="J155" i="90"/>
  <c r="N154" i="90"/>
  <c r="M154" i="90"/>
  <c r="L154" i="90"/>
  <c r="K154" i="90"/>
  <c r="J154" i="90"/>
  <c r="N153" i="90"/>
  <c r="M153" i="90"/>
  <c r="L153" i="90"/>
  <c r="K153" i="90"/>
  <c r="J153" i="90"/>
  <c r="N152" i="90"/>
  <c r="M152" i="90"/>
  <c r="L152" i="90"/>
  <c r="K152" i="90"/>
  <c r="J152" i="90"/>
  <c r="N145" i="90"/>
  <c r="M145" i="90"/>
  <c r="L145" i="90"/>
  <c r="K145" i="90"/>
  <c r="J145" i="90"/>
  <c r="N144" i="90"/>
  <c r="M144" i="90"/>
  <c r="L144" i="90"/>
  <c r="K144" i="90"/>
  <c r="J144" i="90"/>
  <c r="N143" i="90"/>
  <c r="M143" i="90"/>
  <c r="L143" i="90"/>
  <c r="K143" i="90"/>
  <c r="J143" i="90"/>
  <c r="N142" i="90"/>
  <c r="M142" i="90"/>
  <c r="L142" i="90"/>
  <c r="K142" i="90"/>
  <c r="J142" i="90"/>
  <c r="N141" i="90"/>
  <c r="M141" i="90"/>
  <c r="L141" i="90"/>
  <c r="K141" i="90"/>
  <c r="J141" i="90"/>
  <c r="N140" i="90"/>
  <c r="M140" i="90"/>
  <c r="L140" i="90"/>
  <c r="K140" i="90"/>
  <c r="J140" i="90"/>
  <c r="N139" i="90"/>
  <c r="M139" i="90"/>
  <c r="L139" i="90"/>
  <c r="K139" i="90"/>
  <c r="J139" i="90"/>
  <c r="N138" i="90"/>
  <c r="M138" i="90"/>
  <c r="L138" i="90"/>
  <c r="K138" i="90"/>
  <c r="J138" i="90"/>
  <c r="N137" i="90"/>
  <c r="M137" i="90"/>
  <c r="L137" i="90"/>
  <c r="K137" i="90"/>
  <c r="J137" i="90"/>
  <c r="N136" i="90"/>
  <c r="M136" i="90"/>
  <c r="L136" i="90"/>
  <c r="K136" i="90"/>
  <c r="J136" i="90"/>
  <c r="N135" i="90"/>
  <c r="M135" i="90"/>
  <c r="L135" i="90"/>
  <c r="K135" i="90"/>
  <c r="J135" i="90"/>
  <c r="N134" i="90"/>
  <c r="M134" i="90"/>
  <c r="L134" i="90"/>
  <c r="K134" i="90"/>
  <c r="J134" i="90"/>
  <c r="N133" i="90"/>
  <c r="M133" i="90"/>
  <c r="L133" i="90"/>
  <c r="K133" i="90"/>
  <c r="J133" i="90"/>
  <c r="N132" i="90"/>
  <c r="M132" i="90"/>
  <c r="L132" i="90"/>
  <c r="K132" i="90"/>
  <c r="J132" i="90"/>
  <c r="N131" i="90"/>
  <c r="M131" i="90"/>
  <c r="L131" i="90"/>
  <c r="K131" i="90"/>
  <c r="J131" i="90"/>
  <c r="N130" i="90"/>
  <c r="M130" i="90"/>
  <c r="L130" i="90"/>
  <c r="K130" i="90"/>
  <c r="J130" i="90"/>
  <c r="N129" i="90"/>
  <c r="M129" i="90"/>
  <c r="L129" i="90"/>
  <c r="K129" i="90"/>
  <c r="J129" i="90"/>
  <c r="N128" i="90"/>
  <c r="M128" i="90"/>
  <c r="L128" i="90"/>
  <c r="K128" i="90"/>
  <c r="J128" i="90"/>
  <c r="N127" i="90"/>
  <c r="M127" i="90"/>
  <c r="L127" i="90"/>
  <c r="K127" i="90"/>
  <c r="J127" i="90"/>
  <c r="N126" i="90"/>
  <c r="M126" i="90"/>
  <c r="L126" i="90"/>
  <c r="K126" i="90"/>
  <c r="J126" i="90"/>
  <c r="N125" i="90"/>
  <c r="M125" i="90"/>
  <c r="L125" i="90"/>
  <c r="K125" i="90"/>
  <c r="J125" i="90"/>
  <c r="N124" i="90"/>
  <c r="M124" i="90"/>
  <c r="L124" i="90"/>
  <c r="K124" i="90"/>
  <c r="J124" i="90"/>
  <c r="N123" i="90"/>
  <c r="M123" i="90"/>
  <c r="L123" i="90"/>
  <c r="K123" i="90"/>
  <c r="J123" i="90"/>
  <c r="N122" i="90"/>
  <c r="M122" i="90"/>
  <c r="L122" i="90"/>
  <c r="K122" i="90"/>
  <c r="J122" i="90"/>
  <c r="N121" i="90"/>
  <c r="M121" i="90"/>
  <c r="L121" i="90"/>
  <c r="K121" i="90"/>
  <c r="J121" i="90"/>
  <c r="N120" i="90"/>
  <c r="M120" i="90"/>
  <c r="L120" i="90"/>
  <c r="K120" i="90"/>
  <c r="J120" i="90"/>
  <c r="N119" i="90"/>
  <c r="M119" i="90"/>
  <c r="L119" i="90"/>
  <c r="K119" i="90"/>
  <c r="J119" i="90"/>
  <c r="N118" i="90"/>
  <c r="M118" i="90"/>
  <c r="L118" i="90"/>
  <c r="K118" i="90"/>
  <c r="J118" i="90"/>
  <c r="N117" i="90"/>
  <c r="M117" i="90"/>
  <c r="L117" i="90"/>
  <c r="K117" i="90"/>
  <c r="J117" i="90"/>
  <c r="N116" i="90"/>
  <c r="M116" i="90"/>
  <c r="L116" i="90"/>
  <c r="K116" i="90"/>
  <c r="J116" i="90"/>
  <c r="N115" i="90"/>
  <c r="M115" i="90"/>
  <c r="L115" i="90"/>
  <c r="K115" i="90"/>
  <c r="J115" i="90"/>
  <c r="N114" i="90"/>
  <c r="M114" i="90"/>
  <c r="L114" i="90"/>
  <c r="K114" i="90"/>
  <c r="J114" i="90"/>
  <c r="N113" i="90"/>
  <c r="M113" i="90"/>
  <c r="L113" i="90"/>
  <c r="K113" i="90"/>
  <c r="J113" i="90"/>
  <c r="N112" i="90"/>
  <c r="M112" i="90"/>
  <c r="L112" i="90"/>
  <c r="K112" i="90"/>
  <c r="J112" i="90"/>
  <c r="N109" i="90"/>
  <c r="M109" i="90"/>
  <c r="L109" i="90"/>
  <c r="K109" i="90"/>
  <c r="N108" i="90"/>
  <c r="M108" i="90"/>
  <c r="L108" i="90"/>
  <c r="K108" i="90"/>
  <c r="J108" i="90"/>
  <c r="N107" i="90"/>
  <c r="M107" i="90"/>
  <c r="L107" i="90"/>
  <c r="K107" i="90"/>
  <c r="J107" i="90"/>
  <c r="N106" i="90"/>
  <c r="M106" i="90"/>
  <c r="L106" i="90"/>
  <c r="K106" i="90"/>
  <c r="J106" i="90"/>
  <c r="N105" i="90"/>
  <c r="M105" i="90"/>
  <c r="L105" i="90"/>
  <c r="K105" i="90"/>
  <c r="J105" i="90"/>
  <c r="N104" i="90"/>
  <c r="M104" i="90"/>
  <c r="M162" i="90" s="1"/>
  <c r="H44" i="89" s="1"/>
  <c r="L104" i="90"/>
  <c r="K104" i="90"/>
  <c r="K162" i="90" s="1"/>
  <c r="F44" i="89" s="1"/>
  <c r="J104" i="90"/>
  <c r="N96" i="90"/>
  <c r="M96" i="90"/>
  <c r="L96" i="90"/>
  <c r="K96" i="90"/>
  <c r="J96" i="90"/>
  <c r="N87" i="90"/>
  <c r="M87" i="90"/>
  <c r="L87" i="90"/>
  <c r="K87" i="90"/>
  <c r="J87" i="90"/>
  <c r="N86" i="90"/>
  <c r="M86" i="90"/>
  <c r="L86" i="90"/>
  <c r="K86" i="90"/>
  <c r="J86" i="90"/>
  <c r="N83" i="90"/>
  <c r="M83" i="90"/>
  <c r="L83" i="90"/>
  <c r="K83" i="90"/>
  <c r="N82" i="90"/>
  <c r="M82" i="90"/>
  <c r="L82" i="90"/>
  <c r="K82" i="90"/>
  <c r="J82" i="90"/>
  <c r="N81" i="90"/>
  <c r="M81" i="90"/>
  <c r="L81" i="90"/>
  <c r="K81" i="90"/>
  <c r="J81" i="90"/>
  <c r="N80" i="90"/>
  <c r="M80" i="90"/>
  <c r="L80" i="90"/>
  <c r="K80" i="90"/>
  <c r="J80" i="90"/>
  <c r="N79" i="90"/>
  <c r="M79" i="90"/>
  <c r="L79" i="90"/>
  <c r="K79" i="90"/>
  <c r="J79" i="90"/>
  <c r="N78" i="90"/>
  <c r="M78" i="90"/>
  <c r="L78" i="90"/>
  <c r="K78" i="90"/>
  <c r="J78" i="90"/>
  <c r="N77" i="90"/>
  <c r="M77" i="90"/>
  <c r="L77" i="90"/>
  <c r="K77" i="90"/>
  <c r="J77" i="90"/>
  <c r="N76" i="90"/>
  <c r="M76" i="90"/>
  <c r="L76" i="90"/>
  <c r="K76" i="90"/>
  <c r="J76" i="90"/>
  <c r="N75" i="90"/>
  <c r="M75" i="90"/>
  <c r="L75" i="90"/>
  <c r="K75" i="90"/>
  <c r="J75" i="90"/>
  <c r="N74" i="90"/>
  <c r="M74" i="90"/>
  <c r="L74" i="90"/>
  <c r="K74" i="90"/>
  <c r="J74" i="90"/>
  <c r="N73" i="90"/>
  <c r="M73" i="90"/>
  <c r="L73" i="90"/>
  <c r="K73" i="90"/>
  <c r="J73" i="90"/>
  <c r="N72" i="90"/>
  <c r="M72" i="90"/>
  <c r="L72" i="90"/>
  <c r="K72" i="90"/>
  <c r="J72" i="90"/>
  <c r="N71" i="90"/>
  <c r="M71" i="90"/>
  <c r="L71" i="90"/>
  <c r="K71" i="90"/>
  <c r="J71" i="90"/>
  <c r="N70" i="90"/>
  <c r="M70" i="90"/>
  <c r="L70" i="90"/>
  <c r="K70" i="90"/>
  <c r="J70" i="90"/>
  <c r="N69" i="90"/>
  <c r="M69" i="90"/>
  <c r="L69" i="90"/>
  <c r="K69" i="90"/>
  <c r="J69" i="90"/>
  <c r="N68" i="90"/>
  <c r="M68" i="90"/>
  <c r="L68" i="90"/>
  <c r="K68" i="90"/>
  <c r="J68" i="90"/>
  <c r="N67" i="90"/>
  <c r="M67" i="90"/>
  <c r="L67" i="90"/>
  <c r="K67" i="90"/>
  <c r="J67" i="90"/>
  <c r="N66" i="90"/>
  <c r="M66" i="90"/>
  <c r="L66" i="90"/>
  <c r="K66" i="90"/>
  <c r="J66" i="90"/>
  <c r="N65" i="90"/>
  <c r="M65" i="90"/>
  <c r="L65" i="90"/>
  <c r="K65" i="90"/>
  <c r="J65" i="90"/>
  <c r="N64" i="90"/>
  <c r="M64" i="90"/>
  <c r="L64" i="90"/>
  <c r="K64" i="90"/>
  <c r="J64" i="90"/>
  <c r="N63" i="90"/>
  <c r="M63" i="90"/>
  <c r="L63" i="90"/>
  <c r="K63" i="90"/>
  <c r="J63" i="90"/>
  <c r="N62" i="90"/>
  <c r="M62" i="90"/>
  <c r="L62" i="90"/>
  <c r="K62" i="90"/>
  <c r="J62" i="90"/>
  <c r="N61" i="90"/>
  <c r="M61" i="90"/>
  <c r="L61" i="90"/>
  <c r="K61" i="90"/>
  <c r="J61" i="90"/>
  <c r="N60" i="90"/>
  <c r="M60" i="90"/>
  <c r="L60" i="90"/>
  <c r="K60" i="90"/>
  <c r="J60" i="90"/>
  <c r="N59" i="90"/>
  <c r="M59" i="90"/>
  <c r="L59" i="90"/>
  <c r="K59" i="90"/>
  <c r="J59" i="90"/>
  <c r="N58" i="90"/>
  <c r="M58" i="90"/>
  <c r="L58" i="90"/>
  <c r="K58" i="90"/>
  <c r="J58" i="90"/>
  <c r="N57" i="90"/>
  <c r="M57" i="90"/>
  <c r="L57" i="90"/>
  <c r="K57" i="90"/>
  <c r="J57" i="90"/>
  <c r="N56" i="90"/>
  <c r="M56" i="90"/>
  <c r="L56" i="90"/>
  <c r="K56" i="90"/>
  <c r="J56" i="90"/>
  <c r="N54" i="90"/>
  <c r="M54" i="90"/>
  <c r="L54" i="90"/>
  <c r="K54" i="90"/>
  <c r="J54" i="90"/>
  <c r="N53" i="90"/>
  <c r="M53" i="90"/>
  <c r="L53" i="90"/>
  <c r="K53" i="90"/>
  <c r="J53" i="90"/>
  <c r="N39" i="90"/>
  <c r="M39" i="90"/>
  <c r="L39" i="90"/>
  <c r="K39" i="90"/>
  <c r="J39" i="90"/>
  <c r="N38" i="90"/>
  <c r="M38" i="90"/>
  <c r="L38" i="90"/>
  <c r="K38" i="90"/>
  <c r="J38" i="90"/>
  <c r="N37" i="90"/>
  <c r="M37" i="90"/>
  <c r="L37" i="90"/>
  <c r="K37" i="90"/>
  <c r="J37" i="90"/>
  <c r="N36" i="90"/>
  <c r="M36" i="90"/>
  <c r="L36" i="90"/>
  <c r="K36" i="90"/>
  <c r="J36" i="90"/>
  <c r="N35" i="90"/>
  <c r="M35" i="90"/>
  <c r="L35" i="90"/>
  <c r="K35" i="90"/>
  <c r="J35" i="90"/>
  <c r="N34" i="90"/>
  <c r="M34" i="90"/>
  <c r="L34" i="90"/>
  <c r="K34" i="90"/>
  <c r="J34" i="90"/>
  <c r="N33" i="90"/>
  <c r="M33" i="90"/>
  <c r="L33" i="90"/>
  <c r="K33" i="90"/>
  <c r="J33" i="90"/>
  <c r="N32" i="90"/>
  <c r="M32" i="90"/>
  <c r="L32" i="90"/>
  <c r="K32" i="90"/>
  <c r="J32" i="90"/>
  <c r="N31" i="90"/>
  <c r="M31" i="90"/>
  <c r="L31" i="90"/>
  <c r="K31" i="90"/>
  <c r="J31" i="90"/>
  <c r="N30" i="90"/>
  <c r="M30" i="90"/>
  <c r="L30" i="90"/>
  <c r="K30" i="90"/>
  <c r="J30" i="90"/>
  <c r="N29" i="90"/>
  <c r="M29" i="90"/>
  <c r="L29" i="90"/>
  <c r="K29" i="90"/>
  <c r="J29" i="90"/>
  <c r="N28" i="90"/>
  <c r="M28" i="90"/>
  <c r="L28" i="90"/>
  <c r="K28" i="90"/>
  <c r="J28" i="90"/>
  <c r="N27" i="90"/>
  <c r="M27" i="90"/>
  <c r="L27" i="90"/>
  <c r="K27" i="90"/>
  <c r="J27" i="90"/>
  <c r="N26" i="90"/>
  <c r="M26" i="90"/>
  <c r="L26" i="90"/>
  <c r="K26" i="90"/>
  <c r="J26" i="90"/>
  <c r="N25" i="90"/>
  <c r="M25" i="90"/>
  <c r="L25" i="90"/>
  <c r="K25" i="90"/>
  <c r="J25" i="90"/>
  <c r="N24" i="90"/>
  <c r="M24" i="90"/>
  <c r="L24" i="90"/>
  <c r="K24" i="90"/>
  <c r="J24" i="90"/>
  <c r="N23" i="90"/>
  <c r="M23" i="90"/>
  <c r="L23" i="90"/>
  <c r="K23" i="90"/>
  <c r="J23" i="90"/>
  <c r="N22" i="90"/>
  <c r="M22" i="90"/>
  <c r="L22" i="90"/>
  <c r="K22" i="90"/>
  <c r="J22" i="90"/>
  <c r="N21" i="90"/>
  <c r="M21" i="90"/>
  <c r="L21" i="90"/>
  <c r="K21" i="90"/>
  <c r="J21" i="90"/>
  <c r="N20" i="90"/>
  <c r="M20" i="90"/>
  <c r="L20" i="90"/>
  <c r="K20" i="90"/>
  <c r="J20" i="90"/>
  <c r="N19" i="90"/>
  <c r="M19" i="90"/>
  <c r="L19" i="90"/>
  <c r="K19" i="90"/>
  <c r="J19" i="90"/>
  <c r="N18" i="90"/>
  <c r="M18" i="90"/>
  <c r="L18" i="90"/>
  <c r="K18" i="90"/>
  <c r="J18" i="90"/>
  <c r="N17" i="90"/>
  <c r="M17" i="90"/>
  <c r="L17" i="90"/>
  <c r="K17" i="90"/>
  <c r="J17" i="90"/>
  <c r="N16" i="90"/>
  <c r="M16" i="90"/>
  <c r="L16" i="90"/>
  <c r="K16" i="90"/>
  <c r="J16" i="90"/>
  <c r="N15" i="90"/>
  <c r="M15" i="90"/>
  <c r="L15" i="90"/>
  <c r="K15" i="90"/>
  <c r="J15" i="90"/>
  <c r="N14" i="90"/>
  <c r="M14" i="90"/>
  <c r="L14" i="90"/>
  <c r="K14" i="90"/>
  <c r="J14" i="90"/>
  <c r="N13" i="90"/>
  <c r="M13" i="90"/>
  <c r="L13" i="90"/>
  <c r="K13" i="90"/>
  <c r="J13" i="90"/>
  <c r="N12" i="90"/>
  <c r="M12" i="90"/>
  <c r="L12" i="90"/>
  <c r="K12" i="90"/>
  <c r="J12" i="90"/>
  <c r="N11" i="90"/>
  <c r="M11" i="90"/>
  <c r="L11" i="90"/>
  <c r="K11" i="90"/>
  <c r="J11" i="90"/>
  <c r="N9" i="90"/>
  <c r="M9" i="90"/>
  <c r="L9" i="90"/>
  <c r="K9" i="90"/>
  <c r="J9" i="90"/>
  <c r="N41" i="90"/>
  <c r="M41" i="90"/>
  <c r="L41" i="90"/>
  <c r="K41" i="90"/>
  <c r="J41" i="90"/>
  <c r="H41" i="74"/>
  <c r="F43" i="74"/>
  <c r="H43" i="74"/>
  <c r="J54" i="139"/>
  <c r="L10" i="139"/>
  <c r="K43" i="74"/>
  <c r="K42" i="74"/>
  <c r="K41" i="74"/>
  <c r="K40" i="74"/>
  <c r="F49" i="39"/>
  <c r="G141" i="86" s="1"/>
  <c r="L141" i="86" s="1"/>
  <c r="F22" i="94"/>
  <c r="F18" i="94"/>
  <c r="F14" i="94"/>
  <c r="K48" i="78"/>
  <c r="K47" i="78"/>
  <c r="K41" i="78"/>
  <c r="M32" i="78"/>
  <c r="M53" i="78" s="1"/>
  <c r="G159" i="86" s="1"/>
  <c r="E14" i="95"/>
  <c r="L226" i="86" s="1"/>
  <c r="P47" i="153"/>
  <c r="N47" i="153"/>
  <c r="M47" i="153"/>
  <c r="J47" i="153"/>
  <c r="F47" i="153"/>
  <c r="G42" i="153"/>
  <c r="P42" i="153"/>
  <c r="M42" i="153"/>
  <c r="L42" i="153"/>
  <c r="I42" i="153"/>
  <c r="E42" i="153"/>
  <c r="Q22" i="153"/>
  <c r="P56" i="153"/>
  <c r="O56" i="153"/>
  <c r="N56" i="153"/>
  <c r="L56" i="153"/>
  <c r="K56" i="153"/>
  <c r="J56" i="153"/>
  <c r="I56" i="153"/>
  <c r="H56" i="153"/>
  <c r="G56" i="153"/>
  <c r="E56" i="153"/>
  <c r="P52" i="153"/>
  <c r="P55" i="153" s="1"/>
  <c r="O52" i="153"/>
  <c r="O55" i="153"/>
  <c r="O57" i="153"/>
  <c r="M52" i="153"/>
  <c r="L52" i="153"/>
  <c r="L55" i="153"/>
  <c r="L57" i="153"/>
  <c r="K52" i="153"/>
  <c r="K55" i="153" s="1"/>
  <c r="K57" i="153" s="1"/>
  <c r="I52" i="153"/>
  <c r="I55" i="153" s="1"/>
  <c r="I57" i="153" s="1"/>
  <c r="H52" i="153"/>
  <c r="H55" i="153"/>
  <c r="H57" i="153" s="1"/>
  <c r="G52" i="153"/>
  <c r="G55" i="153"/>
  <c r="G57" i="153"/>
  <c r="E52" i="153"/>
  <c r="B2" i="153"/>
  <c r="Q54" i="153"/>
  <c r="S54" i="153"/>
  <c r="Q53" i="153"/>
  <c r="S53" i="153" s="1"/>
  <c r="B24" i="149"/>
  <c r="B13" i="149"/>
  <c r="F5" i="149"/>
  <c r="F5" i="147"/>
  <c r="G13" i="147"/>
  <c r="D27" i="149"/>
  <c r="H19" i="149"/>
  <c r="B15" i="149"/>
  <c r="B16" i="149"/>
  <c r="B17" i="149" s="1"/>
  <c r="B19" i="149" s="1"/>
  <c r="B21" i="149" s="1"/>
  <c r="D35" i="147"/>
  <c r="I24" i="147"/>
  <c r="I23" i="147"/>
  <c r="C30" i="74"/>
  <c r="C29" i="74"/>
  <c r="A1" i="95"/>
  <c r="A1" i="71"/>
  <c r="A1" i="89"/>
  <c r="A1" i="74"/>
  <c r="A1" i="52"/>
  <c r="A2" i="96"/>
  <c r="A1" i="39" s="1"/>
  <c r="A1" i="91"/>
  <c r="A1" i="94"/>
  <c r="A1" i="78"/>
  <c r="A1" i="143"/>
  <c r="A1" i="129"/>
  <c r="D311" i="86"/>
  <c r="D182" i="86"/>
  <c r="A1" i="146"/>
  <c r="A4" i="146"/>
  <c r="A5" i="145"/>
  <c r="A3" i="145"/>
  <c r="A2" i="145"/>
  <c r="F30" i="145"/>
  <c r="G30" i="145"/>
  <c r="G29" i="145"/>
  <c r="G28" i="145"/>
  <c r="G27" i="145"/>
  <c r="G26" i="145"/>
  <c r="G25" i="145"/>
  <c r="G24" i="145"/>
  <c r="G23" i="145"/>
  <c r="G22" i="145"/>
  <c r="G21" i="145"/>
  <c r="G20" i="145"/>
  <c r="G19" i="145"/>
  <c r="G18" i="145"/>
  <c r="A12" i="145"/>
  <c r="E13" i="145" s="1"/>
  <c r="C57" i="89"/>
  <c r="C2" i="90"/>
  <c r="C2" i="139"/>
  <c r="C3" i="90"/>
  <c r="C3" i="139"/>
  <c r="A4" i="89"/>
  <c r="C18" i="89"/>
  <c r="J100" i="129"/>
  <c r="N18" i="143"/>
  <c r="M18" i="143"/>
  <c r="L18" i="143"/>
  <c r="G22" i="86" s="1"/>
  <c r="L22" i="86" s="1"/>
  <c r="A2" i="71"/>
  <c r="P13" i="143"/>
  <c r="A91" i="129"/>
  <c r="A90" i="143"/>
  <c r="I100" i="143"/>
  <c r="N161" i="143"/>
  <c r="O161" i="143" s="1"/>
  <c r="L161" i="143"/>
  <c r="N160" i="143"/>
  <c r="O160" i="143" s="1"/>
  <c r="L160" i="143"/>
  <c r="N159" i="143"/>
  <c r="L159" i="143"/>
  <c r="N158" i="143"/>
  <c r="L158" i="143"/>
  <c r="N157" i="143"/>
  <c r="O157" i="143"/>
  <c r="L157" i="143"/>
  <c r="N156" i="143"/>
  <c r="L156" i="143"/>
  <c r="O156" i="143"/>
  <c r="N155" i="143"/>
  <c r="L155" i="143"/>
  <c r="O155" i="143" s="1"/>
  <c r="N154" i="143"/>
  <c r="O154" i="143" s="1"/>
  <c r="L154" i="143"/>
  <c r="N153" i="143"/>
  <c r="O153" i="143"/>
  <c r="L153" i="143"/>
  <c r="N152" i="143"/>
  <c r="L152" i="143"/>
  <c r="N151" i="143"/>
  <c r="O151" i="143" s="1"/>
  <c r="L151" i="143"/>
  <c r="N150" i="143"/>
  <c r="O150" i="143"/>
  <c r="L150" i="143"/>
  <c r="N149" i="143"/>
  <c r="L149" i="143"/>
  <c r="N148" i="143"/>
  <c r="O148" i="143" s="1"/>
  <c r="L148" i="143"/>
  <c r="N147" i="143"/>
  <c r="O147" i="143"/>
  <c r="L147" i="143"/>
  <c r="N146" i="143"/>
  <c r="O146" i="143" s="1"/>
  <c r="L146" i="143"/>
  <c r="N145" i="143"/>
  <c r="L145" i="143"/>
  <c r="N144" i="143"/>
  <c r="L144" i="143"/>
  <c r="N143" i="143"/>
  <c r="L143" i="143"/>
  <c r="N142" i="143"/>
  <c r="O142" i="143"/>
  <c r="L142" i="143"/>
  <c r="N141" i="143"/>
  <c r="O141" i="143" s="1"/>
  <c r="L141" i="143"/>
  <c r="N140" i="143"/>
  <c r="O140" i="143" s="1"/>
  <c r="L140" i="143"/>
  <c r="N139" i="143"/>
  <c r="O139" i="143" s="1"/>
  <c r="L139" i="143"/>
  <c r="N138" i="143"/>
  <c r="O138" i="143"/>
  <c r="L138" i="143"/>
  <c r="N137" i="143"/>
  <c r="O137" i="143" s="1"/>
  <c r="L137" i="143"/>
  <c r="N136" i="143"/>
  <c r="O136" i="143" s="1"/>
  <c r="L136" i="143"/>
  <c r="N135" i="143"/>
  <c r="O135" i="143" s="1"/>
  <c r="L135" i="143"/>
  <c r="N134" i="143"/>
  <c r="O134" i="143"/>
  <c r="L134" i="143"/>
  <c r="N133" i="143"/>
  <c r="L133" i="143"/>
  <c r="N132" i="143"/>
  <c r="O132" i="143" s="1"/>
  <c r="L132" i="143"/>
  <c r="N131" i="143"/>
  <c r="O131" i="143"/>
  <c r="L131" i="143"/>
  <c r="N130" i="143"/>
  <c r="L130" i="143"/>
  <c r="N129" i="143"/>
  <c r="O129" i="143" s="1"/>
  <c r="L129" i="143"/>
  <c r="N128" i="143"/>
  <c r="O128" i="143"/>
  <c r="L128" i="143"/>
  <c r="N127" i="143"/>
  <c r="O127" i="143" s="1"/>
  <c r="L127" i="143"/>
  <c r="N126" i="143"/>
  <c r="O126" i="143"/>
  <c r="L126" i="143"/>
  <c r="N125" i="143"/>
  <c r="L125" i="143"/>
  <c r="N124" i="143"/>
  <c r="L124" i="143"/>
  <c r="O124" i="143"/>
  <c r="N123" i="143"/>
  <c r="O123" i="143" s="1"/>
  <c r="L123" i="143"/>
  <c r="N122" i="143"/>
  <c r="L122" i="143"/>
  <c r="N121" i="143"/>
  <c r="L121" i="143"/>
  <c r="N120" i="143"/>
  <c r="L120" i="143"/>
  <c r="N119" i="143"/>
  <c r="L119" i="143"/>
  <c r="O119" i="143" s="1"/>
  <c r="N118" i="143"/>
  <c r="L118" i="143"/>
  <c r="N117" i="143"/>
  <c r="L117" i="143"/>
  <c r="N116" i="143"/>
  <c r="O116" i="143" s="1"/>
  <c r="L116" i="143"/>
  <c r="N115" i="143"/>
  <c r="L115" i="143"/>
  <c r="N114" i="143"/>
  <c r="L114" i="143"/>
  <c r="N113" i="143"/>
  <c r="L113" i="143"/>
  <c r="N112" i="143"/>
  <c r="L112" i="143"/>
  <c r="O112" i="143" s="1"/>
  <c r="N111" i="143"/>
  <c r="L111" i="143"/>
  <c r="N110" i="143"/>
  <c r="O110" i="143"/>
  <c r="L110" i="143"/>
  <c r="N109" i="143"/>
  <c r="L109" i="143"/>
  <c r="N108" i="143"/>
  <c r="L108" i="143"/>
  <c r="N107" i="143"/>
  <c r="O107" i="143"/>
  <c r="L107" i="143"/>
  <c r="N106" i="143"/>
  <c r="L106" i="143"/>
  <c r="D106"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C132" i="143"/>
  <c r="C133" i="143"/>
  <c r="I103" i="143"/>
  <c r="K100" i="143"/>
  <c r="F30" i="39"/>
  <c r="C83" i="143"/>
  <c r="Q34" i="143"/>
  <c r="C77" i="143"/>
  <c r="C75" i="143"/>
  <c r="C74" i="143"/>
  <c r="C72" i="143"/>
  <c r="C71" i="143"/>
  <c r="C69" i="143"/>
  <c r="C58" i="143"/>
  <c r="C57" i="143"/>
  <c r="C55" i="143"/>
  <c r="C52" i="143"/>
  <c r="C51" i="143"/>
  <c r="C48" i="143"/>
  <c r="C47" i="143"/>
  <c r="C38" i="143"/>
  <c r="C37" i="143"/>
  <c r="K18" i="143"/>
  <c r="C26" i="143"/>
  <c r="C20" i="143"/>
  <c r="C12" i="143"/>
  <c r="A11" i="143"/>
  <c r="A12" i="143"/>
  <c r="A13" i="143"/>
  <c r="A14" i="143" s="1"/>
  <c r="A15" i="143" s="1"/>
  <c r="A16" i="143" s="1"/>
  <c r="A17" i="143" s="1"/>
  <c r="A18" i="143" s="1"/>
  <c r="A22" i="143" s="1"/>
  <c r="A23" i="143" s="1"/>
  <c r="A24" i="143" s="1"/>
  <c r="A28" i="143" s="1"/>
  <c r="A29" i="143" s="1"/>
  <c r="A30" i="143" s="1"/>
  <c r="A31" i="143" s="1"/>
  <c r="A32" i="143" s="1"/>
  <c r="A33" i="143" s="1"/>
  <c r="A34" i="143" s="1"/>
  <c r="A35" i="143" s="1"/>
  <c r="A41" i="143" s="1"/>
  <c r="A42" i="143" s="1"/>
  <c r="A43" i="143" s="1"/>
  <c r="A44" i="143" s="1"/>
  <c r="A45" i="143" s="1"/>
  <c r="A48" i="143" s="1"/>
  <c r="A49" i="143" s="1"/>
  <c r="A50" i="143" s="1"/>
  <c r="A51" i="143" s="1"/>
  <c r="A52" i="143" s="1"/>
  <c r="A53" i="143" s="1"/>
  <c r="A54" i="143" s="1"/>
  <c r="A55" i="143" s="1"/>
  <c r="A58" i="143" s="1"/>
  <c r="A59" i="143" s="1"/>
  <c r="A60" i="143" s="1"/>
  <c r="A61" i="143" s="1"/>
  <c r="A62" i="143" s="1"/>
  <c r="A63" i="143" s="1"/>
  <c r="A64" i="143" s="1"/>
  <c r="A65" i="143" s="1"/>
  <c r="A66" i="143" s="1"/>
  <c r="A67" i="143" s="1"/>
  <c r="A70" i="143" s="1"/>
  <c r="A71" i="143" s="1"/>
  <c r="A72" i="143" s="1"/>
  <c r="A74" i="143" s="1"/>
  <c r="A75" i="143" s="1"/>
  <c r="A76" i="143" s="1"/>
  <c r="A77" i="143" s="1"/>
  <c r="A80" i="143" s="1"/>
  <c r="A81" i="143" s="1"/>
  <c r="A83" i="143" s="1"/>
  <c r="A84" i="143" s="1"/>
  <c r="A85" i="143" s="1"/>
  <c r="A86" i="143" s="1"/>
  <c r="A87" i="143" s="1"/>
  <c r="F10" i="143"/>
  <c r="C8" i="143"/>
  <c r="C6" i="143"/>
  <c r="A4" i="143"/>
  <c r="C58" i="89"/>
  <c r="C19" i="89"/>
  <c r="C5" i="139"/>
  <c r="C5" i="90"/>
  <c r="D9" i="95"/>
  <c r="C9" i="95"/>
  <c r="A5" i="95"/>
  <c r="A4" i="95"/>
  <c r="A4" i="94"/>
  <c r="A4" i="78"/>
  <c r="C7" i="52"/>
  <c r="A4" i="91"/>
  <c r="A5" i="96"/>
  <c r="A4" i="129"/>
  <c r="A4" i="52"/>
  <c r="A4" i="74"/>
  <c r="F26" i="94"/>
  <c r="B6" i="94"/>
  <c r="C83" i="129"/>
  <c r="S35" i="129" s="1"/>
  <c r="C57" i="129"/>
  <c r="A11" i="129"/>
  <c r="A12" i="129"/>
  <c r="A13" i="129" s="1"/>
  <c r="A14" i="129" s="1"/>
  <c r="A15" i="129" s="1"/>
  <c r="A16" i="129"/>
  <c r="A17" i="129" s="1"/>
  <c r="A18" i="129" s="1"/>
  <c r="A22" i="129" s="1"/>
  <c r="A23" i="129" s="1"/>
  <c r="A24" i="129" s="1"/>
  <c r="A28" i="129" s="1"/>
  <c r="A29" i="129" s="1"/>
  <c r="A30" i="129" s="1"/>
  <c r="A31" i="129" s="1"/>
  <c r="A32" i="129" s="1"/>
  <c r="A33" i="129" s="1"/>
  <c r="A34" i="129" s="1"/>
  <c r="A35" i="129" s="1"/>
  <c r="A41" i="129" s="1"/>
  <c r="A42" i="129" s="1"/>
  <c r="A43" i="129" s="1"/>
  <c r="A44" i="129" s="1"/>
  <c r="A45" i="129" s="1"/>
  <c r="A48" i="129" s="1"/>
  <c r="A49" i="129" s="1"/>
  <c r="A50" i="129" s="1"/>
  <c r="A51" i="129" s="1"/>
  <c r="A52" i="129" s="1"/>
  <c r="A53" i="129" s="1"/>
  <c r="A54" i="129" s="1"/>
  <c r="A55" i="129" s="1"/>
  <c r="A58" i="129" s="1"/>
  <c r="A59" i="129" s="1"/>
  <c r="A60" i="129" s="1"/>
  <c r="A61" i="129" s="1"/>
  <c r="A62" i="129" s="1"/>
  <c r="A63" i="129" s="1"/>
  <c r="A64" i="129" s="1"/>
  <c r="A65" i="129" s="1"/>
  <c r="A66" i="129" s="1"/>
  <c r="A67" i="129" s="1"/>
  <c r="A70" i="129" s="1"/>
  <c r="A71" i="129" s="1"/>
  <c r="A72" i="129" s="1"/>
  <c r="A74" i="129" s="1"/>
  <c r="A75" i="129" s="1"/>
  <c r="A76" i="129" s="1"/>
  <c r="A77" i="129" s="1"/>
  <c r="A80" i="129" s="1"/>
  <c r="A81" i="129" s="1"/>
  <c r="A83" i="129" s="1"/>
  <c r="A84" i="129" s="1"/>
  <c r="A85" i="129" s="1"/>
  <c r="A86" i="129" s="1"/>
  <c r="A87" i="129" s="1"/>
  <c r="D10" i="39"/>
  <c r="D36" i="74"/>
  <c r="I10" i="74"/>
  <c r="G10" i="74"/>
  <c r="E10" i="74"/>
  <c r="G7" i="71"/>
  <c r="F8" i="71"/>
  <c r="E8" i="71"/>
  <c r="A4" i="71"/>
  <c r="A4" i="39"/>
  <c r="F5" i="86"/>
  <c r="F43" i="86" s="1"/>
  <c r="F115" i="86" s="1"/>
  <c r="F194" i="86" s="1"/>
  <c r="F239" i="86"/>
  <c r="G106" i="74"/>
  <c r="G30" i="74" s="1"/>
  <c r="F40" i="39"/>
  <c r="G140" i="86" s="1"/>
  <c r="D64" i="95"/>
  <c r="D65" i="95" s="1"/>
  <c r="C64" i="95"/>
  <c r="J98" i="90"/>
  <c r="L98" i="90"/>
  <c r="M98" i="90"/>
  <c r="N98" i="90"/>
  <c r="A13" i="95"/>
  <c r="C58" i="95"/>
  <c r="D58" i="95"/>
  <c r="E45" i="95"/>
  <c r="E29" i="95" s="1"/>
  <c r="E47" i="95"/>
  <c r="G20" i="91"/>
  <c r="G129" i="86"/>
  <c r="G130" i="86" s="1"/>
  <c r="G98" i="86" s="1"/>
  <c r="G65" i="74"/>
  <c r="G29" i="74"/>
  <c r="D60" i="89"/>
  <c r="D61" i="89" s="1"/>
  <c r="G90" i="86" s="1"/>
  <c r="L100" i="139"/>
  <c r="N100" i="139"/>
  <c r="F36" i="89"/>
  <c r="M100" i="139"/>
  <c r="G60" i="89"/>
  <c r="G61" i="89" s="1"/>
  <c r="G101" i="71"/>
  <c r="L93" i="86" s="1"/>
  <c r="J100" i="139"/>
  <c r="A15" i="39"/>
  <c r="A16" i="39" s="1"/>
  <c r="A17" i="39" s="1"/>
  <c r="A18" i="39"/>
  <c r="A19" i="39" s="1"/>
  <c r="A20" i="39" s="1"/>
  <c r="A21" i="39" s="1"/>
  <c r="A22" i="39"/>
  <c r="A23" i="39" s="1"/>
  <c r="A24" i="39" s="1"/>
  <c r="A25" i="39" s="1"/>
  <c r="A26" i="39" s="1"/>
  <c r="A27" i="39" s="1"/>
  <c r="A28" i="39" s="1"/>
  <c r="A30" i="39" s="1"/>
  <c r="A15" i="78"/>
  <c r="A16" i="78" s="1"/>
  <c r="A18" i="78" s="1"/>
  <c r="A19" i="78"/>
  <c r="A20" i="78"/>
  <c r="A21" i="78" s="1"/>
  <c r="A22" i="78" s="1"/>
  <c r="A23" i="78" s="1"/>
  <c r="A25" i="78" s="1"/>
  <c r="A26" i="78" s="1"/>
  <c r="A27" i="78" s="1"/>
  <c r="A28" i="78" s="1"/>
  <c r="A29" i="78" s="1"/>
  <c r="A31" i="78" s="1"/>
  <c r="A32" i="78" s="1"/>
  <c r="A33" i="78" s="1"/>
  <c r="A34" i="78" s="1"/>
  <c r="A36" i="78" s="1"/>
  <c r="A37" i="78" s="1"/>
  <c r="A38" i="78" s="1"/>
  <c r="A39" i="78" s="1"/>
  <c r="A40" i="78" s="1"/>
  <c r="A41" i="78" s="1"/>
  <c r="A42" i="78" s="1"/>
  <c r="A43" i="78" s="1"/>
  <c r="A44" i="78" s="1"/>
  <c r="A45" i="78" s="1"/>
  <c r="A46" i="78" s="1"/>
  <c r="A47" i="78" s="1"/>
  <c r="A48" i="78" s="1"/>
  <c r="A49" i="78" s="1"/>
  <c r="A50" i="78" s="1"/>
  <c r="A51" i="78" s="1"/>
  <c r="A53" i="78" s="1"/>
  <c r="C56" i="78" s="1"/>
  <c r="E36" i="89"/>
  <c r="G188" i="78"/>
  <c r="A40" i="94"/>
  <c r="A41" i="94"/>
  <c r="A42" i="94"/>
  <c r="A43" i="94"/>
  <c r="A44" i="94" s="1"/>
  <c r="E52" i="94"/>
  <c r="K39" i="94"/>
  <c r="B12" i="91"/>
  <c r="B13" i="91" s="1"/>
  <c r="B14" i="91" s="1"/>
  <c r="B15" i="91" s="1"/>
  <c r="B16" i="91" s="1"/>
  <c r="B17" i="91" s="1"/>
  <c r="B18" i="91" s="1"/>
  <c r="B19" i="91" s="1"/>
  <c r="C6" i="129"/>
  <c r="C8" i="129"/>
  <c r="C12" i="129"/>
  <c r="C20" i="129"/>
  <c r="C26" i="129"/>
  <c r="C37" i="129"/>
  <c r="C38" i="129"/>
  <c r="C47" i="129"/>
  <c r="C48" i="129"/>
  <c r="C51" i="129"/>
  <c r="C52" i="129"/>
  <c r="C55" i="129"/>
  <c r="C58" i="129"/>
  <c r="C69" i="129"/>
  <c r="C71" i="129"/>
  <c r="C72" i="129"/>
  <c r="C74" i="129"/>
  <c r="C75" i="129"/>
  <c r="C77" i="129"/>
  <c r="R14" i="129"/>
  <c r="S14" i="129"/>
  <c r="S15" i="129"/>
  <c r="S16" i="129"/>
  <c r="S17" i="129"/>
  <c r="S18" i="129"/>
  <c r="S19" i="129"/>
  <c r="A13" i="52"/>
  <c r="A15" i="52" s="1"/>
  <c r="A16" i="52" s="1"/>
  <c r="A17" i="52" s="1"/>
  <c r="A19" i="52" s="1"/>
  <c r="F45" i="86"/>
  <c r="F117" i="86"/>
  <c r="F196" i="86" s="1"/>
  <c r="F241" i="86" s="1"/>
  <c r="F41" i="86"/>
  <c r="F113" i="86"/>
  <c r="F192" i="86" s="1"/>
  <c r="F237" i="86" s="1"/>
  <c r="F42" i="86"/>
  <c r="F114" i="86"/>
  <c r="F193" i="86" s="1"/>
  <c r="F238" i="86" s="1"/>
  <c r="B51" i="86"/>
  <c r="B123" i="86"/>
  <c r="B52" i="86"/>
  <c r="B124" i="86"/>
  <c r="D65" i="86"/>
  <c r="D77" i="86"/>
  <c r="D67" i="86"/>
  <c r="D78" i="86"/>
  <c r="D69" i="86"/>
  <c r="D79" i="86"/>
  <c r="D71" i="86"/>
  <c r="D80" i="86"/>
  <c r="D73" i="86"/>
  <c r="D81" i="86"/>
  <c r="E121" i="86"/>
  <c r="L121" i="86"/>
  <c r="E122" i="86"/>
  <c r="G122" i="86"/>
  <c r="I122" i="86"/>
  <c r="L122" i="86"/>
  <c r="D270" i="86"/>
  <c r="A19" i="89"/>
  <c r="A21" i="89" s="1"/>
  <c r="A22" i="89" s="1"/>
  <c r="F10" i="129"/>
  <c r="F12" i="129" s="1"/>
  <c r="E17" i="129" s="1"/>
  <c r="L34" i="86"/>
  <c r="K29" i="178" s="1"/>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C160" i="143"/>
  <c r="C161" i="143"/>
  <c r="N96" i="143"/>
  <c r="H162" i="90"/>
  <c r="D44" i="89" s="1"/>
  <c r="H99" i="90"/>
  <c r="D32" i="89"/>
  <c r="K39" i="74"/>
  <c r="K65" i="74" s="1"/>
  <c r="K29" i="74" s="1"/>
  <c r="M105" i="139"/>
  <c r="D106" i="74"/>
  <c r="D30" i="74" s="1"/>
  <c r="D31" i="74" s="1"/>
  <c r="M10" i="139"/>
  <c r="N10" i="139"/>
  <c r="K10" i="139"/>
  <c r="J10" i="139"/>
  <c r="J50" i="139"/>
  <c r="E18" i="89" s="1"/>
  <c r="J52" i="153"/>
  <c r="J55" i="153" s="1"/>
  <c r="D65" i="74"/>
  <c r="D29" i="74"/>
  <c r="N52" i="153"/>
  <c r="N55" i="153"/>
  <c r="N57" i="153"/>
  <c r="G182" i="86"/>
  <c r="L182" i="86" s="1"/>
  <c r="L54" i="139"/>
  <c r="N54" i="139"/>
  <c r="N101" i="139" s="1"/>
  <c r="I31" i="89" s="1"/>
  <c r="K54" i="139"/>
  <c r="M54" i="139"/>
  <c r="M56" i="153"/>
  <c r="J105" i="139"/>
  <c r="N105" i="139"/>
  <c r="L105" i="139"/>
  <c r="L162" i="139"/>
  <c r="G43" i="89"/>
  <c r="K105" i="139"/>
  <c r="G139" i="86"/>
  <c r="O42" i="153"/>
  <c r="F42" i="153"/>
  <c r="J42" i="153"/>
  <c r="Q16" i="153"/>
  <c r="Q18" i="153"/>
  <c r="S18" i="153" s="1"/>
  <c r="Q20" i="153"/>
  <c r="S20" i="153" s="1"/>
  <c r="Q29" i="153"/>
  <c r="S29" i="153" s="1"/>
  <c r="K42" i="153"/>
  <c r="N42" i="153"/>
  <c r="E47" i="153"/>
  <c r="H47" i="153"/>
  <c r="L47" i="153"/>
  <c r="K47" i="153"/>
  <c r="Q15" i="153"/>
  <c r="S15" i="153" s="1"/>
  <c r="O47" i="153"/>
  <c r="Q13" i="153"/>
  <c r="S13" i="153"/>
  <c r="Q14" i="153"/>
  <c r="S14" i="153"/>
  <c r="Q19" i="153"/>
  <c r="S19" i="153"/>
  <c r="Q26" i="153"/>
  <c r="S26" i="153"/>
  <c r="Q30" i="153"/>
  <c r="I47" i="153"/>
  <c r="Q17" i="153"/>
  <c r="S17" i="153" s="1"/>
  <c r="Q21" i="153"/>
  <c r="Q25" i="153"/>
  <c r="S25" i="153"/>
  <c r="H42" i="153"/>
  <c r="G47" i="153"/>
  <c r="Q23" i="153"/>
  <c r="S23" i="153"/>
  <c r="Q24" i="153"/>
  <c r="S24" i="153"/>
  <c r="Q27" i="153"/>
  <c r="S27" i="153"/>
  <c r="Q28" i="153"/>
  <c r="S28" i="153"/>
  <c r="S22" i="153"/>
  <c r="M58" i="153"/>
  <c r="H58" i="153"/>
  <c r="F52" i="153"/>
  <c r="P58" i="153"/>
  <c r="E58" i="153"/>
  <c r="Q58" i="153" s="1"/>
  <c r="S49" i="153" s="1"/>
  <c r="F56" i="153"/>
  <c r="Q56" i="153"/>
  <c r="E21" i="74"/>
  <c r="I21" i="74"/>
  <c r="G101" i="86" s="1"/>
  <c r="B15" i="86"/>
  <c r="R12" i="129"/>
  <c r="L19" i="129"/>
  <c r="G59" i="71"/>
  <c r="G16" i="71"/>
  <c r="F29" i="71"/>
  <c r="G29" i="71"/>
  <c r="G56" i="86" s="1"/>
  <c r="G56" i="71"/>
  <c r="C21" i="52"/>
  <c r="E19" i="74"/>
  <c r="I19" i="74" s="1"/>
  <c r="G100" i="86" s="1"/>
  <c r="F57" i="71"/>
  <c r="F91" i="71" s="1"/>
  <c r="D40" i="39"/>
  <c r="G135" i="86" s="1"/>
  <c r="I15" i="74"/>
  <c r="K86" i="74"/>
  <c r="C25" i="172"/>
  <c r="G33" i="157"/>
  <c r="G58" i="156" s="1"/>
  <c r="L58" i="156" s="1"/>
  <c r="E20" i="95"/>
  <c r="E22" i="95"/>
  <c r="E17" i="156"/>
  <c r="K44" i="163"/>
  <c r="O131" i="165"/>
  <c r="O159" i="143"/>
  <c r="O122" i="165"/>
  <c r="O126" i="165"/>
  <c r="O130" i="165"/>
  <c r="P11" i="165"/>
  <c r="O125" i="165"/>
  <c r="R12" i="166"/>
  <c r="L19" i="166"/>
  <c r="C48" i="145"/>
  <c r="H48" i="145" s="1"/>
  <c r="H56" i="145"/>
  <c r="C54" i="145"/>
  <c r="H54" i="145"/>
  <c r="E129" i="156"/>
  <c r="F20" i="168"/>
  <c r="F17" i="149"/>
  <c r="A24" i="159"/>
  <c r="A25" i="159" s="1"/>
  <c r="A26" i="159" s="1"/>
  <c r="C51" i="162"/>
  <c r="H51" i="162"/>
  <c r="I15" i="163"/>
  <c r="E21" i="172"/>
  <c r="A13" i="162"/>
  <c r="E14" i="162"/>
  <c r="P12" i="165"/>
  <c r="O142" i="165"/>
  <c r="D67" i="172"/>
  <c r="D69" i="172"/>
  <c r="J100" i="166"/>
  <c r="O123" i="165"/>
  <c r="I21" i="163"/>
  <c r="G101" i="156"/>
  <c r="G63" i="157"/>
  <c r="G69" i="156" s="1"/>
  <c r="L69" i="156" s="1"/>
  <c r="O159" i="165"/>
  <c r="O107" i="165"/>
  <c r="O116" i="165"/>
  <c r="O138" i="165"/>
  <c r="O146" i="165"/>
  <c r="O150" i="165"/>
  <c r="O121" i="165"/>
  <c r="O129" i="165"/>
  <c r="O151" i="165"/>
  <c r="O155" i="165"/>
  <c r="O106" i="165"/>
  <c r="O114" i="165"/>
  <c r="O119" i="165"/>
  <c r="O137" i="165"/>
  <c r="O145" i="165"/>
  <c r="O153" i="165"/>
  <c r="O135" i="165"/>
  <c r="O148" i="165"/>
  <c r="O158" i="165"/>
  <c r="O118" i="165"/>
  <c r="O124" i="165"/>
  <c r="O127" i="165"/>
  <c r="O140" i="165"/>
  <c r="O147" i="165"/>
  <c r="O152" i="165"/>
  <c r="O160" i="165"/>
  <c r="O154" i="165"/>
  <c r="O108" i="165"/>
  <c r="O156" i="165"/>
  <c r="O161" i="165"/>
  <c r="O115" i="165"/>
  <c r="O128" i="165"/>
  <c r="D13" i="172"/>
  <c r="E24" i="95"/>
  <c r="E20" i="172"/>
  <c r="E21" i="95"/>
  <c r="G65" i="71"/>
  <c r="G70" i="86"/>
  <c r="L70" i="86" s="1"/>
  <c r="G65" i="157"/>
  <c r="G70" i="156" s="1"/>
  <c r="L70" i="156" s="1"/>
  <c r="A2" i="165"/>
  <c r="C43" i="159"/>
  <c r="A2" i="78"/>
  <c r="A2" i="89"/>
  <c r="H45" i="145"/>
  <c r="I45" i="145"/>
  <c r="D45" i="145"/>
  <c r="R13" i="129"/>
  <c r="P17" i="166"/>
  <c r="O19" i="166"/>
  <c r="A13" i="145"/>
  <c r="G61" i="71"/>
  <c r="G68" i="86" s="1"/>
  <c r="I17" i="74"/>
  <c r="G99" i="86" s="1"/>
  <c r="D65" i="172"/>
  <c r="D68" i="172" s="1"/>
  <c r="E64" i="172"/>
  <c r="O139" i="165"/>
  <c r="R13" i="166"/>
  <c r="F12" i="166"/>
  <c r="E17" i="166" s="1"/>
  <c r="M55" i="153"/>
  <c r="M57" i="153" s="1"/>
  <c r="D67" i="95"/>
  <c r="D69" i="95" s="1"/>
  <c r="D59" i="95"/>
  <c r="E99" i="86"/>
  <c r="A19" i="74"/>
  <c r="E100" i="86"/>
  <c r="A21" i="74"/>
  <c r="F60" i="129"/>
  <c r="R30" i="129" s="1"/>
  <c r="F60" i="143"/>
  <c r="P29" i="143" s="1"/>
  <c r="I39" i="94"/>
  <c r="F12" i="143"/>
  <c r="E17" i="143"/>
  <c r="P12" i="143"/>
  <c r="O125" i="143"/>
  <c r="B51" i="96"/>
  <c r="I65" i="74"/>
  <c r="I29" i="74" s="1"/>
  <c r="I31" i="74" s="1"/>
  <c r="G103" i="86" s="1"/>
  <c r="O144" i="143"/>
  <c r="J65" i="74"/>
  <c r="J29" i="74"/>
  <c r="K53" i="74"/>
  <c r="B9" i="164"/>
  <c r="B19" i="164"/>
  <c r="O115" i="143"/>
  <c r="O158" i="143"/>
  <c r="O111" i="143"/>
  <c r="O143" i="143"/>
  <c r="O110" i="165"/>
  <c r="F60" i="166"/>
  <c r="R30" i="166"/>
  <c r="F60" i="165"/>
  <c r="P29" i="165"/>
  <c r="I58" i="153"/>
  <c r="G31" i="163"/>
  <c r="G104" i="156" s="1"/>
  <c r="L104" i="156" s="1"/>
  <c r="A2" i="159"/>
  <c r="O132" i="165"/>
  <c r="O134" i="165"/>
  <c r="I112" i="163"/>
  <c r="I30" i="163" s="1"/>
  <c r="I71" i="163"/>
  <c r="I29" i="163" s="1"/>
  <c r="Q32" i="153"/>
  <c r="R25" i="153" s="1"/>
  <c r="B17" i="86"/>
  <c r="G19" i="147" s="1"/>
  <c r="G17" i="147"/>
  <c r="C55" i="145"/>
  <c r="H55" i="145"/>
  <c r="C50" i="145"/>
  <c r="H50" i="145"/>
  <c r="C47" i="145"/>
  <c r="H47" i="145"/>
  <c r="C51" i="145"/>
  <c r="H51" i="145"/>
  <c r="C52" i="145"/>
  <c r="H52" i="145"/>
  <c r="C46" i="145"/>
  <c r="D46" i="145" s="1"/>
  <c r="D47" i="145" s="1"/>
  <c r="D48" i="145" s="1"/>
  <c r="D49" i="145" s="1"/>
  <c r="D50" i="145" s="1"/>
  <c r="D51" i="145" s="1"/>
  <c r="D52" i="145" s="1"/>
  <c r="D53" i="145" s="1"/>
  <c r="D54" i="145" s="1"/>
  <c r="D55" i="145" s="1"/>
  <c r="D56" i="145" s="1"/>
  <c r="D57" i="145" s="1"/>
  <c r="D59" i="145" s="1"/>
  <c r="H46" i="145"/>
  <c r="C57" i="145"/>
  <c r="H57" i="145" s="1"/>
  <c r="C49" i="145"/>
  <c r="H49" i="145" s="1"/>
  <c r="C53" i="145"/>
  <c r="H53" i="145" s="1"/>
  <c r="I17" i="163"/>
  <c r="G99" i="156" s="1"/>
  <c r="C44" i="89"/>
  <c r="C32" i="89"/>
  <c r="O145" i="143"/>
  <c r="O149" i="143"/>
  <c r="I39" i="170"/>
  <c r="K39" i="170"/>
  <c r="O114" i="143"/>
  <c r="O113" i="143"/>
  <c r="O133" i="143"/>
  <c r="O120" i="143"/>
  <c r="O122" i="143"/>
  <c r="P18" i="166"/>
  <c r="P19" i="166" s="1"/>
  <c r="E18" i="159"/>
  <c r="D18" i="159"/>
  <c r="D21" i="159"/>
  <c r="D22" i="159" s="1"/>
  <c r="N162" i="90"/>
  <c r="I44" i="89" s="1"/>
  <c r="R28" i="153"/>
  <c r="E55" i="153"/>
  <c r="E57" i="153"/>
  <c r="A14" i="95"/>
  <c r="E225" i="86"/>
  <c r="E112" i="163"/>
  <c r="E30" i="163"/>
  <c r="E31" i="163" s="1"/>
  <c r="G105" i="156" s="1"/>
  <c r="L105" i="156" s="1"/>
  <c r="O109" i="165"/>
  <c r="B34" i="163"/>
  <c r="D76" i="163"/>
  <c r="B74" i="163" s="1"/>
  <c r="D45" i="162"/>
  <c r="A15" i="95"/>
  <c r="E226" i="86"/>
  <c r="F21" i="149"/>
  <c r="A19" i="157"/>
  <c r="A20" i="157" s="1"/>
  <c r="A21" i="157" s="1"/>
  <c r="E53" i="156"/>
  <c r="A14" i="162"/>
  <c r="A18" i="162" s="1"/>
  <c r="A19" i="162" s="1"/>
  <c r="A20" i="162" s="1"/>
  <c r="A21" i="162" s="1"/>
  <c r="A22" i="162" s="1"/>
  <c r="A23" i="162" s="1"/>
  <c r="A24" i="162" s="1"/>
  <c r="A25" i="162" s="1"/>
  <c r="A26" i="162" s="1"/>
  <c r="A27" i="162" s="1"/>
  <c r="A28" i="162" s="1"/>
  <c r="A29" i="162" s="1"/>
  <c r="A30" i="162" s="1"/>
  <c r="A32" i="162" s="1"/>
  <c r="E99" i="156"/>
  <c r="A19" i="163"/>
  <c r="A21" i="163" s="1"/>
  <c r="D46" i="170"/>
  <c r="A45" i="170"/>
  <c r="A47" i="170"/>
  <c r="A49" i="170" s="1"/>
  <c r="A50" i="170" s="1"/>
  <c r="A2" i="171"/>
  <c r="A3" i="167"/>
  <c r="A2" i="169"/>
  <c r="A2" i="168"/>
  <c r="A2" i="172"/>
  <c r="A2" i="158"/>
  <c r="A2" i="170"/>
  <c r="A2" i="163"/>
  <c r="A2" i="164"/>
  <c r="A2" i="166"/>
  <c r="C32" i="159"/>
  <c r="C44" i="159"/>
  <c r="C54" i="162"/>
  <c r="H54" i="162"/>
  <c r="C53" i="162"/>
  <c r="H53" i="162"/>
  <c r="C48" i="162"/>
  <c r="C50" i="162"/>
  <c r="H50" i="162" s="1"/>
  <c r="C49" i="162"/>
  <c r="H49" i="162" s="1"/>
  <c r="C55" i="162"/>
  <c r="H55" i="162" s="1"/>
  <c r="C56" i="162"/>
  <c r="C47" i="162"/>
  <c r="H47" i="162"/>
  <c r="C52" i="162"/>
  <c r="H52" i="162"/>
  <c r="C46" i="162"/>
  <c r="C57" i="162"/>
  <c r="H57" i="162" s="1"/>
  <c r="A19" i="71"/>
  <c r="A20" i="71" s="1"/>
  <c r="A21" i="71" s="1"/>
  <c r="E54" i="86" s="1"/>
  <c r="E53" i="86"/>
  <c r="L159" i="86"/>
  <c r="H106" i="165"/>
  <c r="K79" i="74"/>
  <c r="C59" i="95"/>
  <c r="E59" i="95" s="1"/>
  <c r="E58" i="95"/>
  <c r="S56" i="153"/>
  <c r="O120" i="165"/>
  <c r="A14" i="172"/>
  <c r="C65" i="172"/>
  <c r="C67" i="172"/>
  <c r="O152" i="143"/>
  <c r="O136" i="165"/>
  <c r="O157" i="165"/>
  <c r="A2" i="91"/>
  <c r="O117" i="143"/>
  <c r="A2" i="146"/>
  <c r="E71" i="163"/>
  <c r="E29" i="163" s="1"/>
  <c r="P57" i="153"/>
  <c r="B25" i="149"/>
  <c r="M47" i="90"/>
  <c r="M49" i="90"/>
  <c r="H19" i="89" s="1"/>
  <c r="K48" i="139"/>
  <c r="K50" i="139" s="1"/>
  <c r="F18" i="89" s="1"/>
  <c r="F21" i="89" s="1"/>
  <c r="F22" i="89" s="1"/>
  <c r="F24" i="89" s="1"/>
  <c r="F26" i="89" s="1"/>
  <c r="H50" i="139"/>
  <c r="H11" i="145"/>
  <c r="H49" i="90"/>
  <c r="H12" i="145"/>
  <c r="C18" i="145" s="1"/>
  <c r="N50" i="139"/>
  <c r="I18" i="89" s="1"/>
  <c r="L50" i="139"/>
  <c r="G18" i="89" s="1"/>
  <c r="J49" i="90"/>
  <c r="E19" i="89" s="1"/>
  <c r="M48" i="139"/>
  <c r="M50" i="139" s="1"/>
  <c r="H18" i="89" s="1"/>
  <c r="H21" i="89" s="1"/>
  <c r="H22" i="89" s="1"/>
  <c r="H24" i="89" s="1"/>
  <c r="K47" i="90"/>
  <c r="G51" i="71"/>
  <c r="G69" i="71"/>
  <c r="G72" i="86" s="1"/>
  <c r="G99" i="71"/>
  <c r="G93" i="86" s="1"/>
  <c r="E23" i="172"/>
  <c r="F17" i="71"/>
  <c r="G23" i="71"/>
  <c r="F53" i="71"/>
  <c r="G79" i="71"/>
  <c r="L204" i="86" s="1"/>
  <c r="E23" i="95"/>
  <c r="E33" i="169"/>
  <c r="E40" i="169"/>
  <c r="D25" i="172"/>
  <c r="F21" i="157"/>
  <c r="F43" i="157" s="1"/>
  <c r="F84" i="143"/>
  <c r="P35" i="143" s="1"/>
  <c r="E17" i="157"/>
  <c r="G15" i="157"/>
  <c r="L212" i="156"/>
  <c r="E21" i="71"/>
  <c r="E43" i="71" s="1"/>
  <c r="F84" i="165"/>
  <c r="P35" i="165" s="1"/>
  <c r="G39" i="71"/>
  <c r="G61" i="86" s="1"/>
  <c r="G81" i="86" s="1"/>
  <c r="G138" i="86"/>
  <c r="H210" i="156"/>
  <c r="L213" i="86"/>
  <c r="F25" i="149"/>
  <c r="A36" i="153"/>
  <c r="A37" i="153"/>
  <c r="A38" i="153" s="1"/>
  <c r="A39" i="153" s="1"/>
  <c r="A40" i="153" s="1"/>
  <c r="A41" i="153" s="1"/>
  <c r="A42" i="153" s="1"/>
  <c r="A43" i="153" s="1"/>
  <c r="A44" i="153" s="1"/>
  <c r="A45" i="153" s="1"/>
  <c r="A46" i="153" s="1"/>
  <c r="A47" i="153" s="1"/>
  <c r="A49" i="153" s="1"/>
  <c r="G33" i="147" s="1"/>
  <c r="K91" i="74"/>
  <c r="K106" i="74" s="1"/>
  <c r="K30" i="74" s="1"/>
  <c r="K31" i="74" s="1"/>
  <c r="J106" i="74"/>
  <c r="J30" i="74"/>
  <c r="E65" i="172"/>
  <c r="E100" i="156"/>
  <c r="C13" i="172"/>
  <c r="E13" i="172"/>
  <c r="L225" i="156" s="1"/>
  <c r="C69" i="172"/>
  <c r="E14" i="145"/>
  <c r="A14" i="145"/>
  <c r="A18" i="145"/>
  <c r="A19" i="145" s="1"/>
  <c r="A20" i="145" s="1"/>
  <c r="A21" i="145" s="1"/>
  <c r="A22" i="145" s="1"/>
  <c r="A23" i="145" s="1"/>
  <c r="A24" i="145" s="1"/>
  <c r="A25" i="145" s="1"/>
  <c r="A26" i="145" s="1"/>
  <c r="A27" i="145" s="1"/>
  <c r="A28" i="145" s="1"/>
  <c r="A29" i="145" s="1"/>
  <c r="A30" i="145" s="1"/>
  <c r="A32" i="145" s="1"/>
  <c r="E139" i="156"/>
  <c r="A33" i="169"/>
  <c r="A34" i="169"/>
  <c r="A35" i="169" s="1"/>
  <c r="A36" i="169" s="1"/>
  <c r="A37" i="169" s="1"/>
  <c r="A40" i="169" s="1"/>
  <c r="S16" i="153"/>
  <c r="J101" i="139"/>
  <c r="E31" i="89" s="1"/>
  <c r="J162" i="139"/>
  <c r="E43" i="89" s="1"/>
  <c r="F55" i="153"/>
  <c r="F57" i="153" s="1"/>
  <c r="Q52" i="153"/>
  <c r="S52" i="153" s="1"/>
  <c r="C65" i="95"/>
  <c r="C67" i="95"/>
  <c r="E64" i="95"/>
  <c r="E67" i="95" s="1"/>
  <c r="E232" i="86" s="1"/>
  <c r="J232" i="86" s="1"/>
  <c r="C31" i="89"/>
  <c r="C43" i="89"/>
  <c r="D28" i="156"/>
  <c r="E26" i="156"/>
  <c r="B26" i="156"/>
  <c r="B28" i="156" s="1"/>
  <c r="B29" i="156" s="1"/>
  <c r="C76" i="165" s="1"/>
  <c r="Q31" i="165" s="1"/>
  <c r="E106" i="143"/>
  <c r="F106" i="143" s="1"/>
  <c r="D107" i="143" s="1"/>
  <c r="A2" i="143"/>
  <c r="A2" i="74"/>
  <c r="A2" i="39"/>
  <c r="A2" i="95"/>
  <c r="A2" i="52"/>
  <c r="A3" i="96"/>
  <c r="A2" i="129"/>
  <c r="A2" i="94"/>
  <c r="L34" i="156"/>
  <c r="O108" i="143"/>
  <c r="N99" i="90"/>
  <c r="I32" i="89" s="1"/>
  <c r="I34" i="89" s="1"/>
  <c r="I35" i="89" s="1"/>
  <c r="K71" i="163"/>
  <c r="K29" i="163"/>
  <c r="K84" i="163"/>
  <c r="K112" i="163"/>
  <c r="K30" i="163" s="1"/>
  <c r="K31" i="163" s="1"/>
  <c r="J112" i="163"/>
  <c r="J30" i="163"/>
  <c r="J31" i="163" s="1"/>
  <c r="G102" i="156" s="1"/>
  <c r="R20" i="153"/>
  <c r="R18" i="153"/>
  <c r="A21" i="164"/>
  <c r="E108" i="156"/>
  <c r="B21" i="164"/>
  <c r="N195" i="161"/>
  <c r="I44" i="159" s="1"/>
  <c r="L210" i="156"/>
  <c r="O121" i="143"/>
  <c r="E106" i="74"/>
  <c r="E30" i="74" s="1"/>
  <c r="E31" i="74" s="1"/>
  <c r="G105" i="86" s="1"/>
  <c r="L105" i="86" s="1"/>
  <c r="E65" i="74"/>
  <c r="E29" i="74" s="1"/>
  <c r="E58" i="172"/>
  <c r="E67" i="172"/>
  <c r="E232" i="156" s="1"/>
  <c r="J232" i="156" s="1"/>
  <c r="C59" i="172"/>
  <c r="E59" i="172"/>
  <c r="E68" i="172" s="1"/>
  <c r="E65" i="95"/>
  <c r="E68" i="95" s="1"/>
  <c r="C68" i="95"/>
  <c r="C68" i="172"/>
  <c r="M38" i="167"/>
  <c r="M22" i="178"/>
  <c r="M25" i="178"/>
  <c r="M22" i="147"/>
  <c r="M25" i="147"/>
  <c r="K22" i="178"/>
  <c r="I22" i="178"/>
  <c r="I25" i="178" s="1"/>
  <c r="K22" i="147"/>
  <c r="D46" i="159"/>
  <c r="D47" i="159"/>
  <c r="G89" i="156" s="1"/>
  <c r="L50" i="161"/>
  <c r="G19" i="159" s="1"/>
  <c r="G21" i="159" s="1"/>
  <c r="G22" i="159" s="1"/>
  <c r="K50" i="161"/>
  <c r="F19" i="159" s="1"/>
  <c r="F21" i="159" s="1"/>
  <c r="F22" i="159" s="1"/>
  <c r="F24" i="159" s="1"/>
  <c r="F26" i="159" s="1"/>
  <c r="J50" i="161"/>
  <c r="E19" i="159" s="1"/>
  <c r="E21" i="159" s="1"/>
  <c r="E22" i="159" s="1"/>
  <c r="E24" i="159" s="1"/>
  <c r="E26" i="159" s="1"/>
  <c r="N50" i="161"/>
  <c r="I19" i="159" s="1"/>
  <c r="I21" i="159" s="1"/>
  <c r="I22" i="159" s="1"/>
  <c r="I24" i="159" s="1"/>
  <c r="M50" i="161"/>
  <c r="H19" i="159"/>
  <c r="H12" i="162"/>
  <c r="H13" i="162"/>
  <c r="H14" i="162" s="1"/>
  <c r="C18" i="162"/>
  <c r="H18" i="162" s="1"/>
  <c r="I18" i="162" s="1"/>
  <c r="K112" i="161"/>
  <c r="F32" i="159"/>
  <c r="L112" i="161"/>
  <c r="G32" i="159"/>
  <c r="M112" i="161"/>
  <c r="H32" i="159"/>
  <c r="J112" i="161"/>
  <c r="E32" i="159"/>
  <c r="N112" i="161"/>
  <c r="I32" i="159" s="1"/>
  <c r="D34" i="159"/>
  <c r="D35" i="159" s="1"/>
  <c r="G88" i="156" s="1"/>
  <c r="M114" i="160"/>
  <c r="H31" i="159" s="1"/>
  <c r="H34" i="159" s="1"/>
  <c r="H35" i="159" s="1"/>
  <c r="J114" i="160"/>
  <c r="E31" i="159" s="1"/>
  <c r="E34" i="159" s="1"/>
  <c r="E35" i="159" s="1"/>
  <c r="E37" i="159" s="1"/>
  <c r="N114" i="160"/>
  <c r="I31" i="159" s="1"/>
  <c r="I34" i="159" s="1"/>
  <c r="I35" i="159" s="1"/>
  <c r="L114" i="160"/>
  <c r="G31" i="159" s="1"/>
  <c r="G34" i="159" s="1"/>
  <c r="G35" i="159" s="1"/>
  <c r="K114" i="160"/>
  <c r="F31" i="159" s="1"/>
  <c r="L195" i="160"/>
  <c r="G43" i="159" s="1"/>
  <c r="K195" i="160"/>
  <c r="F43" i="159" s="1"/>
  <c r="M195" i="160"/>
  <c r="H43" i="159" s="1"/>
  <c r="H46" i="159" s="1"/>
  <c r="H47" i="159" s="1"/>
  <c r="H49" i="159" s="1"/>
  <c r="J195" i="160"/>
  <c r="E43" i="159"/>
  <c r="N195" i="160"/>
  <c r="I43" i="159"/>
  <c r="I46" i="159" s="1"/>
  <c r="I47" i="159" s="1"/>
  <c r="I49" i="159" s="1"/>
  <c r="J162" i="90"/>
  <c r="E44" i="89" s="1"/>
  <c r="J99" i="90"/>
  <c r="E32" i="89" s="1"/>
  <c r="D34" i="89"/>
  <c r="D35" i="89" s="1"/>
  <c r="G88" i="86" s="1"/>
  <c r="D19" i="89"/>
  <c r="H13" i="145"/>
  <c r="H14" i="145"/>
  <c r="C26" i="145" s="1"/>
  <c r="H26" i="145" s="1"/>
  <c r="K101" i="139"/>
  <c r="F31" i="89"/>
  <c r="M101" i="139"/>
  <c r="H31" i="89"/>
  <c r="R26" i="153"/>
  <c r="R31" i="153"/>
  <c r="R14" i="153"/>
  <c r="S30" i="153"/>
  <c r="R24" i="153"/>
  <c r="R15" i="153"/>
  <c r="R16" i="153"/>
  <c r="R17" i="153"/>
  <c r="R13" i="153"/>
  <c r="R27" i="153"/>
  <c r="K28" i="167"/>
  <c r="L17" i="167"/>
  <c r="E53" i="157"/>
  <c r="E75" i="157" s="1"/>
  <c r="G20" i="171"/>
  <c r="G79" i="157"/>
  <c r="L204" i="156" s="1"/>
  <c r="G22" i="171"/>
  <c r="F21" i="71"/>
  <c r="F43" i="71" s="1"/>
  <c r="G19" i="71"/>
  <c r="E49" i="157"/>
  <c r="E73" i="157" s="1"/>
  <c r="F81" i="129"/>
  <c r="R34" i="129" s="1"/>
  <c r="F81" i="143"/>
  <c r="G86" i="71"/>
  <c r="G25" i="71"/>
  <c r="G20" i="78"/>
  <c r="F25" i="157"/>
  <c r="F80" i="166" s="1"/>
  <c r="R33" i="166" s="1"/>
  <c r="K21" i="167"/>
  <c r="L18" i="167"/>
  <c r="E14" i="169"/>
  <c r="E30" i="169" s="1"/>
  <c r="D30" i="169"/>
  <c r="G134" i="156" s="1"/>
  <c r="E15" i="172"/>
  <c r="L227" i="156" s="1"/>
  <c r="F80" i="129"/>
  <c r="R33" i="129"/>
  <c r="F80" i="143"/>
  <c r="P32" i="143" s="1"/>
  <c r="G17" i="157"/>
  <c r="G53" i="156" s="1"/>
  <c r="L53" i="156" s="1"/>
  <c r="F84" i="166"/>
  <c r="R36" i="166" s="1"/>
  <c r="E43" i="169"/>
  <c r="E49" i="169" s="1"/>
  <c r="D49" i="169"/>
  <c r="G136" i="156" s="1"/>
  <c r="F49" i="71"/>
  <c r="E14" i="39"/>
  <c r="E30" i="39" s="1"/>
  <c r="D30" i="39"/>
  <c r="G134" i="86" s="1"/>
  <c r="E43" i="39"/>
  <c r="E49" i="39" s="1"/>
  <c r="D49" i="39"/>
  <c r="G136" i="86" s="1"/>
  <c r="J17" i="149"/>
  <c r="J21" i="149" s="1"/>
  <c r="K25" i="147"/>
  <c r="I22" i="147"/>
  <c r="I25" i="147" s="1"/>
  <c r="D49" i="159"/>
  <c r="D18" i="162"/>
  <c r="C20" i="145"/>
  <c r="H20" i="145" s="1"/>
  <c r="C19" i="145"/>
  <c r="H19" i="145" s="1"/>
  <c r="C23" i="145"/>
  <c r="H23" i="145" s="1"/>
  <c r="F80" i="165"/>
  <c r="P32" i="165" s="1"/>
  <c r="G55" i="86"/>
  <c r="C19" i="162"/>
  <c r="H19" i="162" s="1"/>
  <c r="I19" i="162" s="1"/>
  <c r="C29" i="162"/>
  <c r="H29" i="162" s="1"/>
  <c r="C26" i="162"/>
  <c r="H26" i="162"/>
  <c r="C20" i="162"/>
  <c r="H20" i="162" s="1"/>
  <c r="C21" i="162"/>
  <c r="H21" i="162"/>
  <c r="C24" i="162"/>
  <c r="H24" i="162" s="1"/>
  <c r="K25" i="178"/>
  <c r="C27" i="145"/>
  <c r="H27" i="145" s="1"/>
  <c r="C22" i="145"/>
  <c r="H22" i="145"/>
  <c r="C21" i="145"/>
  <c r="H21" i="145" s="1"/>
  <c r="C25" i="145"/>
  <c r="H25" i="145" s="1"/>
  <c r="C24" i="145"/>
  <c r="H24" i="145" s="1"/>
  <c r="C30" i="145"/>
  <c r="H30" i="145" s="1"/>
  <c r="C28" i="145"/>
  <c r="H28" i="145" s="1"/>
  <c r="C25" i="162"/>
  <c r="H25" i="162" s="1"/>
  <c r="B34" i="145"/>
  <c r="A34" i="145"/>
  <c r="A38" i="145"/>
  <c r="F34" i="159"/>
  <c r="F35" i="159"/>
  <c r="F37" i="159" s="1"/>
  <c r="C23" i="162"/>
  <c r="H23" i="162" s="1"/>
  <c r="L222" i="86"/>
  <c r="E69" i="95"/>
  <c r="A43" i="169"/>
  <c r="A44" i="169"/>
  <c r="A45" i="169" s="1"/>
  <c r="A46" i="169" s="1"/>
  <c r="A47" i="169" s="1"/>
  <c r="A49" i="169" s="1"/>
  <c r="E141" i="156" s="1"/>
  <c r="E140" i="156"/>
  <c r="B34" i="162"/>
  <c r="A34" i="162"/>
  <c r="A38" i="162" s="1"/>
  <c r="A45" i="94"/>
  <c r="A47" i="94" s="1"/>
  <c r="A49" i="94" s="1"/>
  <c r="A50" i="94" s="1"/>
  <c r="D46" i="94"/>
  <c r="D46" i="162"/>
  <c r="D47" i="162" s="1"/>
  <c r="D48" i="162" s="1"/>
  <c r="D49" i="162" s="1"/>
  <c r="D50" i="162" s="1"/>
  <c r="D51" i="162" s="1"/>
  <c r="D52" i="162" s="1"/>
  <c r="D53" i="162" s="1"/>
  <c r="D54" i="162" s="1"/>
  <c r="D55" i="162" s="1"/>
  <c r="D56" i="162" s="1"/>
  <c r="D57" i="162" s="1"/>
  <c r="D59" i="162" s="1"/>
  <c r="H46" i="162"/>
  <c r="C52" i="170"/>
  <c r="A51" i="170"/>
  <c r="A52" i="170"/>
  <c r="G37" i="178"/>
  <c r="A52" i="153"/>
  <c r="A53" i="153" s="1"/>
  <c r="A54" i="153" s="1"/>
  <c r="A55" i="153" s="1"/>
  <c r="A56" i="153" s="1"/>
  <c r="A57" i="153" s="1"/>
  <c r="A58" i="153" s="1"/>
  <c r="F107" i="143"/>
  <c r="B107" i="143"/>
  <c r="E107" i="143"/>
  <c r="E16" i="129"/>
  <c r="E16" i="143"/>
  <c r="B31" i="156"/>
  <c r="B32" i="156" s="1"/>
  <c r="C76" i="166"/>
  <c r="S32" i="166" s="1"/>
  <c r="E69" i="172"/>
  <c r="L222" i="156"/>
  <c r="C13" i="95"/>
  <c r="C69" i="95"/>
  <c r="D31" i="156"/>
  <c r="F27" i="149"/>
  <c r="B27" i="149"/>
  <c r="M29" i="178"/>
  <c r="I29" i="178" s="1"/>
  <c r="M29" i="147"/>
  <c r="J31" i="74"/>
  <c r="G102" i="86"/>
  <c r="B27" i="147"/>
  <c r="G27" i="147"/>
  <c r="E226" i="156"/>
  <c r="A15" i="172"/>
  <c r="E227" i="86"/>
  <c r="A16" i="95"/>
  <c r="A20" i="95" s="1"/>
  <c r="A21" i="95" s="1"/>
  <c r="A22" i="95" s="1"/>
  <c r="A23" i="95" s="1"/>
  <c r="A24" i="95" s="1"/>
  <c r="A25" i="95" s="1"/>
  <c r="C51" i="167"/>
  <c r="M37" i="178"/>
  <c r="I37" i="178" s="1"/>
  <c r="K37" i="178" s="1"/>
  <c r="M33" i="147"/>
  <c r="I33" i="147" s="1"/>
  <c r="K33" i="147" s="1"/>
  <c r="E101" i="86"/>
  <c r="A29" i="74"/>
  <c r="A30" i="74" s="1"/>
  <c r="A31" i="74" s="1"/>
  <c r="R21" i="153"/>
  <c r="S21" i="153"/>
  <c r="S32" i="153" s="1"/>
  <c r="H25" i="149" s="1"/>
  <c r="D18" i="89"/>
  <c r="D21" i="89"/>
  <c r="D22" i="89" s="1"/>
  <c r="H56" i="162"/>
  <c r="D13" i="95"/>
  <c r="Q42" i="153"/>
  <c r="S42" i="153" s="1"/>
  <c r="Q47" i="153"/>
  <c r="S47" i="153"/>
  <c r="D46" i="89"/>
  <c r="D47" i="89" s="1"/>
  <c r="G106" i="165"/>
  <c r="D107" i="165"/>
  <c r="B21" i="178"/>
  <c r="B22" i="178" s="1"/>
  <c r="B23" i="178" s="1"/>
  <c r="B24" i="178" s="1"/>
  <c r="B25" i="178" s="1"/>
  <c r="I46" i="145"/>
  <c r="I47" i="145" s="1"/>
  <c r="I48" i="145" s="1"/>
  <c r="I49" i="145" s="1"/>
  <c r="I50" i="145" s="1"/>
  <c r="I51" i="145" s="1"/>
  <c r="I52" i="145" s="1"/>
  <c r="I53" i="145" s="1"/>
  <c r="I54" i="145" s="1"/>
  <c r="I55" i="145" s="1"/>
  <c r="I56" i="145" s="1"/>
  <c r="I57" i="145" s="1"/>
  <c r="I59" i="145" s="1"/>
  <c r="I61" i="145" s="1"/>
  <c r="F48" i="89" s="1"/>
  <c r="G19" i="178"/>
  <c r="B22" i="86"/>
  <c r="B9" i="52"/>
  <c r="B19" i="52"/>
  <c r="H48" i="162"/>
  <c r="D68" i="95"/>
  <c r="A23" i="71"/>
  <c r="G17" i="178"/>
  <c r="E17" i="86"/>
  <c r="O130" i="143"/>
  <c r="K99" i="90"/>
  <c r="F32" i="89"/>
  <c r="F34" i="89"/>
  <c r="F35" i="89" s="1"/>
  <c r="F37" i="89" s="1"/>
  <c r="L99" i="90"/>
  <c r="G32" i="89" s="1"/>
  <c r="G15" i="147"/>
  <c r="G15" i="178"/>
  <c r="D16" i="172"/>
  <c r="K49" i="90"/>
  <c r="F19" i="89" s="1"/>
  <c r="M99" i="90"/>
  <c r="H32" i="89"/>
  <c r="H34" i="89" s="1"/>
  <c r="H35" i="89" s="1"/>
  <c r="K162" i="139"/>
  <c r="F43" i="89"/>
  <c r="F46" i="89" s="1"/>
  <c r="F47" i="89" s="1"/>
  <c r="F49" i="89" s="1"/>
  <c r="F51" i="89" s="1"/>
  <c r="L101" i="139"/>
  <c r="G31" i="89" s="1"/>
  <c r="G34" i="89" s="1"/>
  <c r="G35" i="89" s="1"/>
  <c r="O118" i="143"/>
  <c r="L49" i="90"/>
  <c r="G19" i="89"/>
  <c r="G21" i="89" s="1"/>
  <c r="G22" i="89" s="1"/>
  <c r="J195" i="161"/>
  <c r="E44" i="159"/>
  <c r="E46" i="159" s="1"/>
  <c r="E47" i="159" s="1"/>
  <c r="E49" i="159" s="1"/>
  <c r="E51" i="159" s="1"/>
  <c r="M162" i="139"/>
  <c r="H43" i="89" s="1"/>
  <c r="H46" i="89" s="1"/>
  <c r="H47" i="89" s="1"/>
  <c r="H49" i="89" s="1"/>
  <c r="I99" i="143"/>
  <c r="P11" i="143"/>
  <c r="K195" i="161"/>
  <c r="F44" i="159"/>
  <c r="F46" i="159" s="1"/>
  <c r="F47" i="159" s="1"/>
  <c r="N162" i="139"/>
  <c r="I43" i="89"/>
  <c r="I46" i="89"/>
  <c r="I47" i="89" s="1"/>
  <c r="I49" i="89" s="1"/>
  <c r="N49" i="90"/>
  <c r="I19" i="89"/>
  <c r="I21" i="89" s="1"/>
  <c r="I22" i="89"/>
  <c r="I24" i="89" s="1"/>
  <c r="L162" i="90"/>
  <c r="G44" i="89" s="1"/>
  <c r="G46" i="89"/>
  <c r="G47" i="89"/>
  <c r="G49" i="89" s="1"/>
  <c r="M52" i="160"/>
  <c r="H18" i="159"/>
  <c r="H21" i="159"/>
  <c r="H22" i="159" s="1"/>
  <c r="H24" i="159" s="1"/>
  <c r="L195" i="161"/>
  <c r="G44" i="159"/>
  <c r="G46" i="159" s="1"/>
  <c r="G47" i="159" s="1"/>
  <c r="G49" i="159" s="1"/>
  <c r="K17" i="147"/>
  <c r="D24" i="89"/>
  <c r="G87" i="86"/>
  <c r="B29" i="147"/>
  <c r="B31" i="147" s="1"/>
  <c r="G31" i="147"/>
  <c r="C60" i="165"/>
  <c r="Q29" i="165" s="1"/>
  <c r="C60" i="166"/>
  <c r="S30" i="166" s="1"/>
  <c r="B39" i="170"/>
  <c r="A39" i="162"/>
  <c r="A40" i="162"/>
  <c r="E41" i="162" s="1"/>
  <c r="B107" i="165"/>
  <c r="E107" i="165"/>
  <c r="F107" i="165"/>
  <c r="E13" i="95"/>
  <c r="A39" i="145"/>
  <c r="G22" i="147"/>
  <c r="G22" i="178"/>
  <c r="B24" i="86"/>
  <c r="B25" i="86" s="1"/>
  <c r="E26" i="86" s="1"/>
  <c r="B19" i="156"/>
  <c r="B34" i="156"/>
  <c r="G89" i="86"/>
  <c r="G91" i="86" s="1"/>
  <c r="D49" i="89"/>
  <c r="A27" i="95"/>
  <c r="A28" i="95"/>
  <c r="D231" i="86"/>
  <c r="P17" i="143"/>
  <c r="B28" i="149"/>
  <c r="B29" i="149" s="1"/>
  <c r="B30" i="149" s="1"/>
  <c r="B31" i="149" s="1"/>
  <c r="D30" i="149"/>
  <c r="D31" i="149"/>
  <c r="D29" i="149"/>
  <c r="F30" i="149"/>
  <c r="F31" i="149"/>
  <c r="F29" i="149"/>
  <c r="D28" i="149"/>
  <c r="F28" i="149"/>
  <c r="R18" i="129"/>
  <c r="G107" i="143"/>
  <c r="H107" i="143"/>
  <c r="I107" i="143" s="1"/>
  <c r="D108" i="143"/>
  <c r="E108" i="143" s="1"/>
  <c r="C79" i="71"/>
  <c r="A24" i="71"/>
  <c r="A25" i="71" s="1"/>
  <c r="E103" i="86"/>
  <c r="E105" i="86"/>
  <c r="A39" i="74"/>
  <c r="A40" i="74" s="1"/>
  <c r="A41" i="74" s="1"/>
  <c r="A42" i="74" s="1"/>
  <c r="A43" i="74"/>
  <c r="A44" i="74" s="1"/>
  <c r="A45" i="74" s="1"/>
  <c r="A46" i="74" s="1"/>
  <c r="A47" i="74" s="1"/>
  <c r="A48" i="74" s="1"/>
  <c r="A49" i="74" s="1"/>
  <c r="A50" i="74" s="1"/>
  <c r="A51" i="74" s="1"/>
  <c r="A52" i="74" s="1"/>
  <c r="A53" i="74" s="1"/>
  <c r="A54" i="74" s="1"/>
  <c r="A55" i="74" s="1"/>
  <c r="A56" i="74" s="1"/>
  <c r="A57" i="74" s="1"/>
  <c r="A58" i="74" s="1"/>
  <c r="A59" i="74" s="1"/>
  <c r="A60" i="74" s="1"/>
  <c r="A61" i="74" s="1"/>
  <c r="A62" i="74" s="1"/>
  <c r="A63" i="74" s="1"/>
  <c r="A65" i="74" s="1"/>
  <c r="A71" i="74" s="1"/>
  <c r="A73" i="74" s="1"/>
  <c r="A74" i="74" s="1"/>
  <c r="A75" i="74" s="1"/>
  <c r="A76" i="74" s="1"/>
  <c r="A77" i="74" s="1"/>
  <c r="A78" i="74" s="1"/>
  <c r="A79" i="74" s="1"/>
  <c r="A80" i="74" s="1"/>
  <c r="A81" i="74" s="1"/>
  <c r="A82" i="74" s="1"/>
  <c r="A83" i="74" s="1"/>
  <c r="A84" i="74" s="1"/>
  <c r="A85" i="74" s="1"/>
  <c r="A86" i="74" s="1"/>
  <c r="A87" i="74" s="1"/>
  <c r="A88" i="74" s="1"/>
  <c r="A89" i="74" s="1"/>
  <c r="A90" i="74" s="1"/>
  <c r="A91" i="74" s="1"/>
  <c r="A92" i="74" s="1"/>
  <c r="A93" i="74" s="1"/>
  <c r="A94" i="74" s="1"/>
  <c r="A95" i="74" s="1"/>
  <c r="A96" i="74" s="1"/>
  <c r="A97" i="74" s="1"/>
  <c r="A98" i="74" s="1"/>
  <c r="A99" i="74" s="1"/>
  <c r="A100" i="74" s="1"/>
  <c r="A101" i="74" s="1"/>
  <c r="A102" i="74" s="1"/>
  <c r="A103" i="74" s="1"/>
  <c r="A104" i="74" s="1"/>
  <c r="A106" i="74" s="1"/>
  <c r="E104" i="86"/>
  <c r="E102" i="86"/>
  <c r="E227" i="156"/>
  <c r="A16" i="172"/>
  <c r="A20" i="172"/>
  <c r="A21" i="172" s="1"/>
  <c r="A22" i="172" s="1"/>
  <c r="A23" i="172" s="1"/>
  <c r="A24" i="172" s="1"/>
  <c r="A25" i="172" s="1"/>
  <c r="I106" i="165"/>
  <c r="A51" i="94"/>
  <c r="A52" i="94"/>
  <c r="C52" i="94"/>
  <c r="D19" i="162"/>
  <c r="D20" i="162" s="1"/>
  <c r="D21" i="162" s="1"/>
  <c r="A41" i="162"/>
  <c r="A45" i="162" s="1"/>
  <c r="A46" i="162" s="1"/>
  <c r="A47" i="162" s="1"/>
  <c r="A48" i="162" s="1"/>
  <c r="A49" i="162" s="1"/>
  <c r="A50" i="162" s="1"/>
  <c r="A51" i="162" s="1"/>
  <c r="A52" i="162" s="1"/>
  <c r="A53" i="162" s="1"/>
  <c r="A54" i="162" s="1"/>
  <c r="A55" i="162" s="1"/>
  <c r="A56" i="162" s="1"/>
  <c r="A57" i="162" s="1"/>
  <c r="A59" i="162" s="1"/>
  <c r="E40" i="162"/>
  <c r="D255" i="156"/>
  <c r="B53" i="156"/>
  <c r="G107" i="165"/>
  <c r="L225" i="86"/>
  <c r="B26" i="86"/>
  <c r="B28" i="86" s="1"/>
  <c r="D28" i="86"/>
  <c r="F108" i="143"/>
  <c r="B108" i="143"/>
  <c r="A29" i="95"/>
  <c r="A30" i="95"/>
  <c r="C60" i="143"/>
  <c r="Q29" i="143" s="1"/>
  <c r="C60" i="129"/>
  <c r="S30" i="129" s="1"/>
  <c r="B39" i="94"/>
  <c r="A27" i="71"/>
  <c r="A28" i="71"/>
  <c r="A29" i="71" s="1"/>
  <c r="C81" i="129"/>
  <c r="S34" i="129" s="1"/>
  <c r="C80" i="129"/>
  <c r="S33" i="129" s="1"/>
  <c r="C81" i="143"/>
  <c r="Q33" i="143" s="1"/>
  <c r="C80" i="143"/>
  <c r="Q32" i="143" s="1"/>
  <c r="B33" i="147"/>
  <c r="B35" i="147"/>
  <c r="G35" i="147"/>
  <c r="B54" i="156"/>
  <c r="B55" i="156"/>
  <c r="E202" i="156" s="1"/>
  <c r="G108" i="143"/>
  <c r="I108" i="143" s="1"/>
  <c r="H108" i="143"/>
  <c r="D109" i="143"/>
  <c r="E109" i="143"/>
  <c r="F109" i="143" s="1"/>
  <c r="B109" i="143"/>
  <c r="F41" i="157" l="1"/>
  <c r="F82" i="129"/>
  <c r="F83" i="129" s="1"/>
  <c r="F85" i="129" s="1"/>
  <c r="F86" i="129" s="1"/>
  <c r="F87" i="129" s="1"/>
  <c r="O106" i="143"/>
  <c r="G67" i="71"/>
  <c r="G71" i="86" s="1"/>
  <c r="E87" i="157"/>
  <c r="M45" i="167"/>
  <c r="G80" i="157"/>
  <c r="G81" i="157" s="1"/>
  <c r="G53" i="157"/>
  <c r="G66" i="156" s="1"/>
  <c r="L66" i="156" s="1"/>
  <c r="G69" i="157"/>
  <c r="G72" i="156" s="1"/>
  <c r="F81" i="157"/>
  <c r="M21" i="96"/>
  <c r="G21" i="157"/>
  <c r="G54" i="156" s="1"/>
  <c r="F82" i="143"/>
  <c r="F83" i="143" s="1"/>
  <c r="G53" i="71"/>
  <c r="G215" i="156"/>
  <c r="G47" i="157"/>
  <c r="G152" i="156"/>
  <c r="F215" i="156"/>
  <c r="L214" i="156"/>
  <c r="E25" i="172"/>
  <c r="E231" i="156" s="1"/>
  <c r="G93" i="71"/>
  <c r="E93" i="157"/>
  <c r="C19" i="164"/>
  <c r="C21" i="164" s="1"/>
  <c r="F73" i="157"/>
  <c r="G21" i="71"/>
  <c r="G43" i="71" s="1"/>
  <c r="G44" i="71" s="1"/>
  <c r="E12" i="95"/>
  <c r="L224" i="86" s="1"/>
  <c r="F75" i="157"/>
  <c r="G80" i="71"/>
  <c r="G81" i="71" s="1"/>
  <c r="F57" i="157"/>
  <c r="F91" i="157" s="1"/>
  <c r="F95" i="157" s="1"/>
  <c r="G31" i="71"/>
  <c r="G57" i="86" s="1"/>
  <c r="L57" i="86" s="1"/>
  <c r="M45" i="96"/>
  <c r="M51" i="96" s="1"/>
  <c r="G13" i="86" s="1"/>
  <c r="L13" i="86" s="1"/>
  <c r="K15" i="178" s="1"/>
  <c r="G19" i="157"/>
  <c r="G55" i="157"/>
  <c r="G71" i="157"/>
  <c r="G73" i="156" s="1"/>
  <c r="G85" i="157"/>
  <c r="L13" i="167"/>
  <c r="M53" i="171"/>
  <c r="G159" i="156" s="1"/>
  <c r="L159" i="156" s="1"/>
  <c r="E14" i="172"/>
  <c r="L226" i="156" s="1"/>
  <c r="L228" i="156" s="1"/>
  <c r="E233" i="156" s="1"/>
  <c r="E234" i="156" s="1"/>
  <c r="G152" i="86"/>
  <c r="G35" i="71"/>
  <c r="G59" i="86" s="1"/>
  <c r="F87" i="71"/>
  <c r="K21" i="96"/>
  <c r="H212" i="156"/>
  <c r="L210" i="86"/>
  <c r="P33" i="143"/>
  <c r="H211" i="156"/>
  <c r="G51" i="157"/>
  <c r="H213" i="156"/>
  <c r="H215" i="156" s="1"/>
  <c r="H211" i="86"/>
  <c r="I53" i="78"/>
  <c r="G156" i="86" s="1"/>
  <c r="G215" i="86"/>
  <c r="F22" i="170"/>
  <c r="G93" i="157"/>
  <c r="E41" i="71"/>
  <c r="G47" i="71"/>
  <c r="H214" i="156"/>
  <c r="I53" i="171"/>
  <c r="G156" i="156" s="1"/>
  <c r="L13" i="96"/>
  <c r="G137" i="86"/>
  <c r="G142" i="86" s="1"/>
  <c r="G144" i="86" s="1"/>
  <c r="E43" i="157"/>
  <c r="F81" i="71"/>
  <c r="K28" i="96"/>
  <c r="F95" i="71"/>
  <c r="L69" i="86"/>
  <c r="G81" i="156"/>
  <c r="G87" i="157"/>
  <c r="L203" i="156"/>
  <c r="F81" i="166"/>
  <c r="G25" i="157"/>
  <c r="G55" i="156" s="1"/>
  <c r="J63" i="156" s="1"/>
  <c r="H25" i="159" s="1"/>
  <c r="H36" i="159" s="1"/>
  <c r="F81" i="165"/>
  <c r="P33" i="165" s="1"/>
  <c r="P34" i="143"/>
  <c r="F85" i="143"/>
  <c r="F86" i="143" s="1"/>
  <c r="F87" i="143" s="1"/>
  <c r="G17" i="71"/>
  <c r="G53" i="86" s="1"/>
  <c r="L53" i="86" s="1"/>
  <c r="E91" i="71"/>
  <c r="G91" i="71" s="1"/>
  <c r="G95" i="71" s="1"/>
  <c r="L67" i="86" s="1"/>
  <c r="G57" i="71"/>
  <c r="G67" i="86" s="1"/>
  <c r="E25" i="95"/>
  <c r="E231" i="86" s="1"/>
  <c r="E57" i="157"/>
  <c r="L16" i="96"/>
  <c r="C16" i="172"/>
  <c r="H210" i="86"/>
  <c r="G15" i="71"/>
  <c r="E73" i="71"/>
  <c r="L17" i="96"/>
  <c r="R35" i="129"/>
  <c r="G54" i="86"/>
  <c r="L54" i="86" s="1"/>
  <c r="G23" i="157"/>
  <c r="F87" i="157"/>
  <c r="G55" i="71"/>
  <c r="E81" i="71"/>
  <c r="L18" i="96"/>
  <c r="H214" i="86"/>
  <c r="F14" i="170"/>
  <c r="M51" i="167"/>
  <c r="G13" i="156" s="1"/>
  <c r="L13" i="156" s="1"/>
  <c r="M15" i="147" s="1"/>
  <c r="G85" i="71"/>
  <c r="G87" i="71" s="1"/>
  <c r="F41" i="71"/>
  <c r="H14" i="149"/>
  <c r="H17" i="149" s="1"/>
  <c r="H21" i="149" s="1"/>
  <c r="H27" i="149" s="1"/>
  <c r="G99" i="157"/>
  <c r="G93" i="156" s="1"/>
  <c r="E41" i="157"/>
  <c r="G53" i="171"/>
  <c r="G158" i="156" s="1"/>
  <c r="G161" i="156" s="1"/>
  <c r="G137" i="156"/>
  <c r="G142" i="156" s="1"/>
  <c r="G144" i="156" s="1"/>
  <c r="G79" i="156"/>
  <c r="G35" i="157"/>
  <c r="G59" i="156" s="1"/>
  <c r="G62" i="156" s="1"/>
  <c r="G67" i="157"/>
  <c r="G71" i="156" s="1"/>
  <c r="L79" i="156"/>
  <c r="L212" i="86"/>
  <c r="E53" i="78"/>
  <c r="E53" i="171"/>
  <c r="M54" i="171" s="1"/>
  <c r="H212" i="86"/>
  <c r="G80" i="86"/>
  <c r="L11" i="96"/>
  <c r="E15" i="95"/>
  <c r="G49" i="157"/>
  <c r="G65" i="156" s="1"/>
  <c r="G53" i="78"/>
  <c r="G158" i="86" s="1"/>
  <c r="O23" i="171"/>
  <c r="F215" i="86"/>
  <c r="F10" i="170"/>
  <c r="F28" i="170" s="1"/>
  <c r="F296" i="156" s="1"/>
  <c r="G164" i="156" s="1"/>
  <c r="G168" i="156" s="1"/>
  <c r="G109" i="143"/>
  <c r="H109" i="143"/>
  <c r="I109" i="143" s="1"/>
  <c r="D110" i="143"/>
  <c r="E110" i="143"/>
  <c r="A31" i="71"/>
  <c r="E56" i="86"/>
  <c r="A61" i="162"/>
  <c r="B61" i="162"/>
  <c r="D231" i="156"/>
  <c r="A27" i="172"/>
  <c r="A28" i="172" s="1"/>
  <c r="D31" i="86"/>
  <c r="B29" i="86"/>
  <c r="B56" i="156"/>
  <c r="A31" i="95"/>
  <c r="A32" i="95" s="1"/>
  <c r="A33" i="95" s="1"/>
  <c r="A34" i="95" s="1"/>
  <c r="A35" i="95" s="1"/>
  <c r="A36" i="95" s="1"/>
  <c r="D108" i="165"/>
  <c r="H107" i="165"/>
  <c r="G27" i="178"/>
  <c r="B27" i="178"/>
  <c r="E40" i="145"/>
  <c r="A40" i="145"/>
  <c r="G168" i="86"/>
  <c r="F29" i="129"/>
  <c r="R21" i="129" s="1"/>
  <c r="F29" i="143"/>
  <c r="P20" i="143" s="1"/>
  <c r="M15" i="178"/>
  <c r="I20" i="162"/>
  <c r="I21" i="162" s="1"/>
  <c r="L54" i="156"/>
  <c r="G43" i="157"/>
  <c r="G44" i="157" s="1"/>
  <c r="L202" i="86"/>
  <c r="E34" i="89"/>
  <c r="E35" i="89" s="1"/>
  <c r="E37" i="89" s="1"/>
  <c r="D18" i="145"/>
  <c r="D19" i="145" s="1"/>
  <c r="D20" i="145" s="1"/>
  <c r="D21" i="145" s="1"/>
  <c r="D22" i="145" s="1"/>
  <c r="D23" i="145" s="1"/>
  <c r="D24" i="145" s="1"/>
  <c r="D25" i="145" s="1"/>
  <c r="D26" i="145" s="1"/>
  <c r="D27" i="145" s="1"/>
  <c r="D28" i="145" s="1"/>
  <c r="H18" i="145"/>
  <c r="I18" i="145" s="1"/>
  <c r="I19" i="145" s="1"/>
  <c r="I20" i="145" s="1"/>
  <c r="I21" i="145" s="1"/>
  <c r="I22" i="145" s="1"/>
  <c r="I23" i="145" s="1"/>
  <c r="I24" i="145" s="1"/>
  <c r="I25" i="145" s="1"/>
  <c r="I26" i="145" s="1"/>
  <c r="I27" i="145" s="1"/>
  <c r="I28" i="145" s="1"/>
  <c r="C22" i="162"/>
  <c r="H22" i="162" s="1"/>
  <c r="C28" i="162"/>
  <c r="H28" i="162" s="1"/>
  <c r="C27" i="162"/>
  <c r="H27" i="162" s="1"/>
  <c r="C30" i="162"/>
  <c r="H30" i="162" s="1"/>
  <c r="E16" i="165"/>
  <c r="E16" i="166"/>
  <c r="I31" i="163"/>
  <c r="G103" i="156" s="1"/>
  <c r="Q55" i="153"/>
  <c r="S55" i="153" s="1"/>
  <c r="J57" i="153"/>
  <c r="Q57" i="153" s="1"/>
  <c r="S57" i="153" s="1"/>
  <c r="B20" i="91"/>
  <c r="E129" i="86" s="1"/>
  <c r="F20" i="91"/>
  <c r="E139" i="86"/>
  <c r="A33" i="39"/>
  <c r="A34" i="39" s="1"/>
  <c r="A35" i="39" s="1"/>
  <c r="A36" i="39" s="1"/>
  <c r="A37" i="39" s="1"/>
  <c r="A40" i="39" s="1"/>
  <c r="G49" i="71"/>
  <c r="F73" i="71"/>
  <c r="G161" i="86"/>
  <c r="A29" i="163"/>
  <c r="A30" i="163" s="1"/>
  <c r="A31" i="163" s="1"/>
  <c r="E101" i="156"/>
  <c r="A23" i="157"/>
  <c r="E54" i="156"/>
  <c r="G87" i="156"/>
  <c r="G91" i="156" s="1"/>
  <c r="D24" i="159"/>
  <c r="E21" i="89"/>
  <c r="E22" i="89" s="1"/>
  <c r="E24" i="89" s="1"/>
  <c r="E26" i="89" s="1"/>
  <c r="A23" i="89"/>
  <c r="A24" i="89" s="1"/>
  <c r="A25" i="89" s="1"/>
  <c r="A26" i="89" s="1"/>
  <c r="A31" i="89" s="1"/>
  <c r="A32" i="89" s="1"/>
  <c r="A34" i="89" s="1"/>
  <c r="A35" i="89" s="1"/>
  <c r="E87" i="86"/>
  <c r="A21" i="52"/>
  <c r="E108" i="86" s="1"/>
  <c r="B21" i="52"/>
  <c r="L202" i="156"/>
  <c r="E46" i="89"/>
  <c r="E47" i="89" s="1"/>
  <c r="E49" i="89" s="1"/>
  <c r="E51" i="89" s="1"/>
  <c r="E87" i="156"/>
  <c r="A31" i="159"/>
  <c r="A32" i="159" s="1"/>
  <c r="A34" i="159" s="1"/>
  <c r="A35" i="159" s="1"/>
  <c r="C29" i="145"/>
  <c r="H29" i="145" s="1"/>
  <c r="R22" i="153"/>
  <c r="R19" i="153"/>
  <c r="O109" i="143"/>
  <c r="F75" i="71"/>
  <c r="R23" i="153"/>
  <c r="R29" i="153"/>
  <c r="R30" i="153"/>
  <c r="K29" i="147"/>
  <c r="I29" i="147" s="1"/>
  <c r="D70" i="74"/>
  <c r="B68" i="74" s="1"/>
  <c r="B34" i="74"/>
  <c r="G31" i="74"/>
  <c r="G104" i="86" s="1"/>
  <c r="M17" i="147"/>
  <c r="I17" i="147" s="1"/>
  <c r="G61" i="157"/>
  <c r="H45" i="162"/>
  <c r="I45" i="162" s="1"/>
  <c r="I46" i="162" s="1"/>
  <c r="I47" i="162" s="1"/>
  <c r="I48" i="162" s="1"/>
  <c r="I49" i="162" s="1"/>
  <c r="I50" i="162" s="1"/>
  <c r="I51" i="162" s="1"/>
  <c r="I52" i="162" s="1"/>
  <c r="I53" i="162" s="1"/>
  <c r="I54" i="162" s="1"/>
  <c r="I55" i="162" s="1"/>
  <c r="I56" i="162" s="1"/>
  <c r="I57" i="162" s="1"/>
  <c r="I59" i="162" s="1"/>
  <c r="I61" i="162" s="1"/>
  <c r="F48" i="159" s="1"/>
  <c r="F49" i="159" s="1"/>
  <c r="F51" i="159" s="1"/>
  <c r="I15" i="178" l="1"/>
  <c r="G66" i="86"/>
  <c r="L66" i="86" s="1"/>
  <c r="G75" i="71"/>
  <c r="H26" i="159"/>
  <c r="F82" i="165"/>
  <c r="F83" i="165" s="1"/>
  <c r="F85" i="165" s="1"/>
  <c r="F86" i="165" s="1"/>
  <c r="F87" i="165" s="1"/>
  <c r="G76" i="71"/>
  <c r="G231" i="156"/>
  <c r="G232" i="156"/>
  <c r="G233" i="156"/>
  <c r="D17" i="165" s="1"/>
  <c r="G41" i="157"/>
  <c r="G41" i="71"/>
  <c r="K15" i="147"/>
  <c r="I15" i="147" s="1"/>
  <c r="G62" i="86"/>
  <c r="G108" i="86" s="1"/>
  <c r="L108" i="86" s="1"/>
  <c r="L79" i="86"/>
  <c r="E16" i="172"/>
  <c r="J63" i="86"/>
  <c r="H25" i="89" s="1"/>
  <c r="H36" i="89" s="1"/>
  <c r="G80" i="156"/>
  <c r="G79" i="86"/>
  <c r="L203" i="86"/>
  <c r="E46" i="172"/>
  <c r="E48" i="172" s="1"/>
  <c r="E49" i="172" s="1"/>
  <c r="E30" i="172" s="1"/>
  <c r="E36" i="172" s="1"/>
  <c r="E38" i="172" s="1"/>
  <c r="J231" i="156" s="1"/>
  <c r="R34" i="166"/>
  <c r="F82" i="166"/>
  <c r="F83" i="166" s="1"/>
  <c r="G73" i="157"/>
  <c r="J67" i="86"/>
  <c r="J68" i="86" s="1"/>
  <c r="L68" i="86" s="1"/>
  <c r="G78" i="86"/>
  <c r="O20" i="171"/>
  <c r="O22" i="171"/>
  <c r="O19" i="171"/>
  <c r="H215" i="86"/>
  <c r="E95" i="71"/>
  <c r="F29" i="165"/>
  <c r="P20" i="165" s="1"/>
  <c r="P34" i="165"/>
  <c r="M54" i="78"/>
  <c r="H30" i="149"/>
  <c r="H31" i="149"/>
  <c r="H29" i="149"/>
  <c r="H28" i="149"/>
  <c r="F29" i="166"/>
  <c r="R21" i="166" s="1"/>
  <c r="G77" i="156"/>
  <c r="L65" i="156"/>
  <c r="L227" i="86"/>
  <c r="L228" i="86" s="1"/>
  <c r="E233" i="86" s="1"/>
  <c r="E234" i="86" s="1"/>
  <c r="E16" i="95"/>
  <c r="O21" i="171"/>
  <c r="G57" i="157"/>
  <c r="G67" i="156" s="1"/>
  <c r="E91" i="157"/>
  <c r="H37" i="159"/>
  <c r="H50" i="159"/>
  <c r="H51" i="159" s="1"/>
  <c r="J22" i="149"/>
  <c r="L22" i="149" s="1"/>
  <c r="E88" i="156"/>
  <c r="A36" i="159"/>
  <c r="A37" i="159" s="1"/>
  <c r="A43" i="159" s="1"/>
  <c r="A44" i="159" s="1"/>
  <c r="A46" i="159" s="1"/>
  <c r="A47" i="159" s="1"/>
  <c r="L205" i="156"/>
  <c r="L55" i="156" s="1"/>
  <c r="E88" i="86"/>
  <c r="A36" i="89"/>
  <c r="A37" i="89" s="1"/>
  <c r="A43" i="89" s="1"/>
  <c r="A44" i="89" s="1"/>
  <c r="A46" i="89" s="1"/>
  <c r="A47" i="89" s="1"/>
  <c r="G106" i="156"/>
  <c r="D29" i="145"/>
  <c r="D30" i="145" s="1"/>
  <c r="D32" i="145" s="1"/>
  <c r="G108" i="156"/>
  <c r="L108" i="156" s="1"/>
  <c r="L233" i="156"/>
  <c r="I107" i="165"/>
  <c r="G68" i="156"/>
  <c r="G75" i="157"/>
  <c r="G76" i="157" s="1"/>
  <c r="A24" i="157"/>
  <c r="A25" i="157" s="1"/>
  <c r="C79" i="157"/>
  <c r="G73" i="71"/>
  <c r="G65" i="86"/>
  <c r="R18" i="166"/>
  <c r="L77" i="156"/>
  <c r="L232" i="156"/>
  <c r="D16" i="165"/>
  <c r="P16" i="165" s="1"/>
  <c r="D16" i="166"/>
  <c r="R17" i="166" s="1"/>
  <c r="A41" i="145"/>
  <c r="A45" i="145" s="1"/>
  <c r="A46" i="145" s="1"/>
  <c r="A47" i="145" s="1"/>
  <c r="A48" i="145" s="1"/>
  <c r="A49" i="145" s="1"/>
  <c r="A50" i="145" s="1"/>
  <c r="A51" i="145" s="1"/>
  <c r="A52" i="145" s="1"/>
  <c r="A53" i="145" s="1"/>
  <c r="A54" i="145" s="1"/>
  <c r="A55" i="145" s="1"/>
  <c r="A56" i="145" s="1"/>
  <c r="A57" i="145" s="1"/>
  <c r="A59" i="145" s="1"/>
  <c r="E41" i="145"/>
  <c r="B108" i="165"/>
  <c r="E108" i="165"/>
  <c r="F108" i="165"/>
  <c r="B31" i="86"/>
  <c r="B32" i="86" s="1"/>
  <c r="C76" i="143"/>
  <c r="Q31" i="143" s="1"/>
  <c r="C76" i="129"/>
  <c r="S32" i="129" s="1"/>
  <c r="B36" i="95"/>
  <c r="B110" i="143"/>
  <c r="F110" i="143"/>
  <c r="A43" i="39"/>
  <c r="A44" i="39" s="1"/>
  <c r="A45" i="39" s="1"/>
  <c r="A46" i="39" s="1"/>
  <c r="A47" i="39" s="1"/>
  <c r="A49" i="39" s="1"/>
  <c r="E141" i="86" s="1"/>
  <c r="E140" i="86"/>
  <c r="P17" i="165"/>
  <c r="G174" i="156"/>
  <c r="L175" i="156"/>
  <c r="G175" i="156"/>
  <c r="L176" i="156"/>
  <c r="G176" i="156"/>
  <c r="D15" i="165"/>
  <c r="P14" i="165" s="1"/>
  <c r="D15" i="166"/>
  <c r="R15" i="166" s="1"/>
  <c r="A38" i="95"/>
  <c r="A40" i="95" s="1"/>
  <c r="A41" i="95" s="1"/>
  <c r="A42" i="95" s="1"/>
  <c r="A43" i="95" s="1"/>
  <c r="A44" i="95" s="1"/>
  <c r="A45" i="95" s="1"/>
  <c r="E221" i="86"/>
  <c r="B38" i="95"/>
  <c r="D22" i="162"/>
  <c r="D23" i="162" s="1"/>
  <c r="D24" i="162" s="1"/>
  <c r="D25" i="162" s="1"/>
  <c r="D26" i="162" s="1"/>
  <c r="D27" i="162" s="1"/>
  <c r="D28" i="162" s="1"/>
  <c r="D29" i="162" s="1"/>
  <c r="D30" i="162" s="1"/>
  <c r="D32" i="162" s="1"/>
  <c r="L104" i="86"/>
  <c r="G106" i="86"/>
  <c r="E103" i="156"/>
  <c r="A39" i="163"/>
  <c r="A40" i="163" s="1"/>
  <c r="A41" i="163" s="1"/>
  <c r="A42" i="163" s="1"/>
  <c r="A43" i="163" s="1"/>
  <c r="A44" i="163" s="1"/>
  <c r="A45" i="163" s="1"/>
  <c r="A46" i="163" s="1"/>
  <c r="A47" i="163" s="1"/>
  <c r="A48" i="163" s="1"/>
  <c r="A49" i="163" s="1"/>
  <c r="A50" i="163" s="1"/>
  <c r="A51" i="163" s="1"/>
  <c r="A52" i="163" s="1"/>
  <c r="A53" i="163" s="1"/>
  <c r="A54" i="163" s="1"/>
  <c r="A55" i="163" s="1"/>
  <c r="A56" i="163" s="1"/>
  <c r="A57" i="163" s="1"/>
  <c r="A58" i="163" s="1"/>
  <c r="A59" i="163" s="1"/>
  <c r="A60" i="163" s="1"/>
  <c r="A61" i="163" s="1"/>
  <c r="A62" i="163" s="1"/>
  <c r="A63" i="163" s="1"/>
  <c r="A64" i="163" s="1"/>
  <c r="A65" i="163" s="1"/>
  <c r="A66" i="163" s="1"/>
  <c r="A67" i="163" s="1"/>
  <c r="A68" i="163" s="1"/>
  <c r="A69" i="163" s="1"/>
  <c r="A71" i="163" s="1"/>
  <c r="A77" i="163" s="1"/>
  <c r="A79" i="163" s="1"/>
  <c r="A80" i="163" s="1"/>
  <c r="A81" i="163" s="1"/>
  <c r="A82" i="163" s="1"/>
  <c r="A83" i="163" s="1"/>
  <c r="A84" i="163" s="1"/>
  <c r="A85" i="163" s="1"/>
  <c r="A86" i="163" s="1"/>
  <c r="A87" i="163" s="1"/>
  <c r="A88" i="163" s="1"/>
  <c r="A89" i="163" s="1"/>
  <c r="A90" i="163" s="1"/>
  <c r="A91" i="163" s="1"/>
  <c r="A92" i="163" s="1"/>
  <c r="A93" i="163" s="1"/>
  <c r="A94" i="163" s="1"/>
  <c r="A95" i="163" s="1"/>
  <c r="A96" i="163" s="1"/>
  <c r="A97" i="163" s="1"/>
  <c r="A98" i="163" s="1"/>
  <c r="A99" i="163" s="1"/>
  <c r="A100" i="163" s="1"/>
  <c r="A101" i="163" s="1"/>
  <c r="A102" i="163" s="1"/>
  <c r="A103" i="163" s="1"/>
  <c r="A104" i="163" s="1"/>
  <c r="A105" i="163" s="1"/>
  <c r="A106" i="163" s="1"/>
  <c r="A107" i="163" s="1"/>
  <c r="A108" i="163" s="1"/>
  <c r="A109" i="163" s="1"/>
  <c r="A110" i="163" s="1"/>
  <c r="A112" i="163" s="1"/>
  <c r="E105" i="156"/>
  <c r="E102" i="156"/>
  <c r="E104" i="156"/>
  <c r="I29" i="145"/>
  <c r="I30" i="145" s="1"/>
  <c r="I32" i="145" s="1"/>
  <c r="I34" i="145" s="1"/>
  <c r="G23" i="89" s="1"/>
  <c r="G24" i="89" s="1"/>
  <c r="L205" i="86"/>
  <c r="L55" i="86" s="1"/>
  <c r="I22" i="162"/>
  <c r="I23" i="162" s="1"/>
  <c r="I24" i="162" s="1"/>
  <c r="I25" i="162" s="1"/>
  <c r="I26" i="162" s="1"/>
  <c r="I27" i="162" s="1"/>
  <c r="I28" i="162" s="1"/>
  <c r="I29" i="162" s="1"/>
  <c r="I30" i="162" s="1"/>
  <c r="I32" i="162" s="1"/>
  <c r="I34" i="162" s="1"/>
  <c r="G23" i="159" s="1"/>
  <c r="G24" i="159" s="1"/>
  <c r="L175" i="86"/>
  <c r="L176" i="86"/>
  <c r="G175" i="86"/>
  <c r="G176" i="86"/>
  <c r="G174" i="86"/>
  <c r="B29" i="178"/>
  <c r="B31" i="178" s="1"/>
  <c r="B57" i="156"/>
  <c r="A29" i="172"/>
  <c r="A30" i="172" s="1"/>
  <c r="A31" i="172" s="1"/>
  <c r="A32" i="172" s="1"/>
  <c r="A33" i="172" s="1"/>
  <c r="A34" i="172" s="1"/>
  <c r="A35" i="172" s="1"/>
  <c r="A36" i="172" s="1"/>
  <c r="A33" i="71"/>
  <c r="E57" i="86"/>
  <c r="H26" i="89" l="1"/>
  <c r="L207" i="156"/>
  <c r="J211" i="156" s="1"/>
  <c r="L211" i="156" s="1"/>
  <c r="L215" i="156" s="1"/>
  <c r="L217" i="156" s="1"/>
  <c r="D17" i="166"/>
  <c r="G232" i="86"/>
  <c r="G233" i="86"/>
  <c r="G231" i="86"/>
  <c r="E46" i="95"/>
  <c r="E48" i="95" s="1"/>
  <c r="E49" i="95" s="1"/>
  <c r="E30" i="95" s="1"/>
  <c r="E36" i="95" s="1"/>
  <c r="L221" i="156"/>
  <c r="E95" i="157"/>
  <c r="G91" i="157"/>
  <c r="G95" i="157" s="1"/>
  <c r="L67" i="156" s="1"/>
  <c r="J67" i="156" s="1"/>
  <c r="J68" i="156" s="1"/>
  <c r="L68" i="156" s="1"/>
  <c r="R35" i="166"/>
  <c r="F85" i="166"/>
  <c r="F86" i="166" s="1"/>
  <c r="F87" i="166" s="1"/>
  <c r="F16" i="166"/>
  <c r="P18" i="165"/>
  <c r="F17" i="165"/>
  <c r="J149" i="156"/>
  <c r="L149" i="156" s="1"/>
  <c r="J56" i="156"/>
  <c r="L56" i="156" s="1"/>
  <c r="J99" i="156"/>
  <c r="L99" i="156" s="1"/>
  <c r="J139" i="156"/>
  <c r="L139" i="156" s="1"/>
  <c r="J130" i="156"/>
  <c r="L130" i="156" s="1"/>
  <c r="L98" i="156" s="1"/>
  <c r="B37" i="178"/>
  <c r="B39" i="178" s="1"/>
  <c r="G35" i="178"/>
  <c r="G39" i="178"/>
  <c r="F33" i="129"/>
  <c r="R23" i="129" s="1"/>
  <c r="F33" i="143"/>
  <c r="P22" i="143" s="1"/>
  <c r="L207" i="86"/>
  <c r="B49" i="95"/>
  <c r="B29" i="95"/>
  <c r="A46" i="95"/>
  <c r="A47" i="95" s="1"/>
  <c r="A48" i="95" s="1"/>
  <c r="A49" i="95" s="1"/>
  <c r="B50" i="95"/>
  <c r="F34" i="165"/>
  <c r="P23" i="165" s="1"/>
  <c r="F34" i="166"/>
  <c r="R24" i="166" s="1"/>
  <c r="F16" i="165"/>
  <c r="H110" i="143"/>
  <c r="I110" i="143" s="1"/>
  <c r="D111" i="143"/>
  <c r="G110" i="143"/>
  <c r="B34" i="86"/>
  <c r="B19" i="86"/>
  <c r="C80" i="165"/>
  <c r="Q32" i="165" s="1"/>
  <c r="C81" i="165"/>
  <c r="Q33" i="165" s="1"/>
  <c r="C80" i="166"/>
  <c r="S33" i="166" s="1"/>
  <c r="C81" i="166"/>
  <c r="S34" i="166" s="1"/>
  <c r="A27" i="157"/>
  <c r="A28" i="157" s="1"/>
  <c r="A29" i="157" s="1"/>
  <c r="G74" i="156"/>
  <c r="G78" i="156"/>
  <c r="G82" i="156" s="1"/>
  <c r="G110" i="156" s="1"/>
  <c r="H50" i="89"/>
  <c r="H51" i="89" s="1"/>
  <c r="H37" i="89"/>
  <c r="A48" i="89"/>
  <c r="A49" i="89" s="1"/>
  <c r="A50" i="89" s="1"/>
  <c r="A51" i="89" s="1"/>
  <c r="A57" i="89" s="1"/>
  <c r="A58" i="89" s="1"/>
  <c r="A60" i="89" s="1"/>
  <c r="A61" i="89" s="1"/>
  <c r="A48" i="159"/>
  <c r="A49" i="159" s="1"/>
  <c r="A50" i="159" s="1"/>
  <c r="A51" i="159" s="1"/>
  <c r="A57" i="159" s="1"/>
  <c r="A58" i="159" s="1"/>
  <c r="A60" i="159" s="1"/>
  <c r="A61" i="159" s="1"/>
  <c r="B58" i="156"/>
  <c r="B59" i="156" s="1"/>
  <c r="D109" i="165"/>
  <c r="E109" i="165"/>
  <c r="G108" i="165"/>
  <c r="H108" i="165"/>
  <c r="B61" i="145"/>
  <c r="A61" i="145"/>
  <c r="L65" i="86"/>
  <c r="G77" i="86"/>
  <c r="G82" i="86" s="1"/>
  <c r="G74" i="86"/>
  <c r="B38" i="172"/>
  <c r="E221" i="156"/>
  <c r="A38" i="172"/>
  <c r="A40" i="172" s="1"/>
  <c r="A41" i="172" s="1"/>
  <c r="A42" i="172" s="1"/>
  <c r="A43" i="172" s="1"/>
  <c r="A44" i="172" s="1"/>
  <c r="A45" i="172" s="1"/>
  <c r="F34" i="143"/>
  <c r="P23" i="143" s="1"/>
  <c r="F34" i="129"/>
  <c r="R24" i="129" s="1"/>
  <c r="E58" i="86"/>
  <c r="A35" i="71"/>
  <c r="B36" i="172"/>
  <c r="G31" i="178"/>
  <c r="L231" i="156"/>
  <c r="E15" i="165"/>
  <c r="E15" i="166"/>
  <c r="F33" i="165"/>
  <c r="P22" i="165" s="1"/>
  <c r="F33" i="166"/>
  <c r="R23" i="166" s="1"/>
  <c r="F17" i="166"/>
  <c r="R19" i="166"/>
  <c r="L78" i="156" l="1"/>
  <c r="E38" i="95"/>
  <c r="J231" i="86" s="1"/>
  <c r="L221" i="86"/>
  <c r="D15" i="129"/>
  <c r="R15" i="129" s="1"/>
  <c r="D15" i="143"/>
  <c r="P14" i="143" s="1"/>
  <c r="D17" i="143"/>
  <c r="L233" i="86"/>
  <c r="D17" i="129"/>
  <c r="D16" i="129"/>
  <c r="D16" i="143"/>
  <c r="L232" i="86"/>
  <c r="E90" i="156"/>
  <c r="A62" i="159"/>
  <c r="A63" i="159" s="1"/>
  <c r="G29" i="147"/>
  <c r="G29" i="178"/>
  <c r="D255" i="86"/>
  <c r="B53" i="86"/>
  <c r="J130" i="86"/>
  <c r="L130" i="86" s="1"/>
  <c r="L98" i="86" s="1"/>
  <c r="J211" i="86"/>
  <c r="L211" i="86" s="1"/>
  <c r="L215" i="86" s="1"/>
  <c r="L217" i="86" s="1"/>
  <c r="J149" i="86"/>
  <c r="L149" i="86" s="1"/>
  <c r="J56" i="86"/>
  <c r="L56" i="86" s="1"/>
  <c r="J99" i="86"/>
  <c r="L99" i="86" s="1"/>
  <c r="J139" i="86"/>
  <c r="L139" i="86" s="1"/>
  <c r="J151" i="156"/>
  <c r="L151" i="156" s="1"/>
  <c r="L152" i="156" s="1"/>
  <c r="J137" i="156"/>
  <c r="L137" i="156" s="1"/>
  <c r="J102" i="156"/>
  <c r="L102" i="156" s="1"/>
  <c r="J71" i="156"/>
  <c r="L71" i="156" s="1"/>
  <c r="J150" i="156"/>
  <c r="L150" i="156" s="1"/>
  <c r="I25" i="159"/>
  <c r="J156" i="156"/>
  <c r="L156" i="156" s="1"/>
  <c r="J60" i="156"/>
  <c r="L60" i="156" s="1"/>
  <c r="J59" i="156"/>
  <c r="L59" i="156" s="1"/>
  <c r="L62" i="156" s="1"/>
  <c r="J62" i="156" s="1"/>
  <c r="J73" i="156"/>
  <c r="L73" i="156" s="1"/>
  <c r="J100" i="156"/>
  <c r="L100" i="156" s="1"/>
  <c r="J61" i="156"/>
  <c r="L61" i="156" s="1"/>
  <c r="J72" i="156"/>
  <c r="L72" i="156" s="1"/>
  <c r="F70" i="165"/>
  <c r="F70" i="166"/>
  <c r="F15" i="166"/>
  <c r="R16" i="166"/>
  <c r="B29" i="172"/>
  <c r="A46" i="172"/>
  <c r="A47" i="172" s="1"/>
  <c r="A48" i="172" s="1"/>
  <c r="A49" i="172" s="1"/>
  <c r="B109" i="165"/>
  <c r="F109" i="165"/>
  <c r="E89" i="86"/>
  <c r="A55" i="95"/>
  <c r="B30" i="95"/>
  <c r="P15" i="165"/>
  <c r="F15" i="165"/>
  <c r="I108" i="165"/>
  <c r="G110" i="86"/>
  <c r="B60" i="156"/>
  <c r="B61" i="156" s="1"/>
  <c r="A62" i="89"/>
  <c r="A63" i="89" s="1"/>
  <c r="E90" i="86" s="1"/>
  <c r="A31" i="157"/>
  <c r="E56" i="156"/>
  <c r="B111" i="143"/>
  <c r="L234" i="156"/>
  <c r="G165" i="156" s="1"/>
  <c r="E59" i="86"/>
  <c r="A37" i="71"/>
  <c r="L77" i="86"/>
  <c r="E89" i="156"/>
  <c r="E111" i="143"/>
  <c r="F54" i="165"/>
  <c r="P28" i="165" s="1"/>
  <c r="F54" i="166"/>
  <c r="R29" i="166" s="1"/>
  <c r="L74" i="156" l="1"/>
  <c r="F17" i="129"/>
  <c r="R19" i="129"/>
  <c r="P18" i="143"/>
  <c r="F17" i="143"/>
  <c r="R17" i="129"/>
  <c r="F16" i="129"/>
  <c r="L81" i="156"/>
  <c r="P16" i="143"/>
  <c r="F16" i="143"/>
  <c r="E15" i="143"/>
  <c r="L231" i="86"/>
  <c r="L234" i="86" s="1"/>
  <c r="G165" i="86" s="1"/>
  <c r="E15" i="129"/>
  <c r="J140" i="156"/>
  <c r="L140" i="156" s="1"/>
  <c r="J101" i="156"/>
  <c r="L101" i="156" s="1"/>
  <c r="J138" i="156"/>
  <c r="L138" i="156" s="1"/>
  <c r="L142" i="156" s="1"/>
  <c r="L144" i="156" s="1"/>
  <c r="G25" i="159"/>
  <c r="J160" i="156"/>
  <c r="L160" i="156" s="1"/>
  <c r="J158" i="156"/>
  <c r="L158" i="156" s="1"/>
  <c r="J103" i="156"/>
  <c r="L103" i="156" s="1"/>
  <c r="F18" i="165"/>
  <c r="E23" i="165" s="1"/>
  <c r="A55" i="172"/>
  <c r="B30" i="172"/>
  <c r="F18" i="166"/>
  <c r="E23" i="166" s="1"/>
  <c r="J100" i="86"/>
  <c r="L100" i="86" s="1"/>
  <c r="J60" i="86"/>
  <c r="L60" i="86" s="1"/>
  <c r="J150" i="86"/>
  <c r="L150" i="86" s="1"/>
  <c r="J61" i="86"/>
  <c r="L61" i="86" s="1"/>
  <c r="J137" i="86"/>
  <c r="L137" i="86" s="1"/>
  <c r="J102" i="86"/>
  <c r="L102" i="86" s="1"/>
  <c r="J59" i="86"/>
  <c r="L59" i="86" s="1"/>
  <c r="L62" i="86" s="1"/>
  <c r="J62" i="86" s="1"/>
  <c r="J73" i="86"/>
  <c r="L73" i="86" s="1"/>
  <c r="J71" i="86"/>
  <c r="L71" i="86" s="1"/>
  <c r="J156" i="86"/>
  <c r="L156" i="86" s="1"/>
  <c r="J72" i="86"/>
  <c r="L72" i="86" s="1"/>
  <c r="J151" i="86"/>
  <c r="L151" i="86" s="1"/>
  <c r="I25" i="89"/>
  <c r="A56" i="95"/>
  <c r="G109" i="165"/>
  <c r="H109" i="165"/>
  <c r="D110" i="165"/>
  <c r="E110" i="165"/>
  <c r="B49" i="172"/>
  <c r="R31" i="166"/>
  <c r="G180" i="156"/>
  <c r="G173" i="156" s="1"/>
  <c r="G178" i="156" s="1"/>
  <c r="G184" i="156" s="1"/>
  <c r="E60" i="86"/>
  <c r="A39" i="71"/>
  <c r="D43" i="71"/>
  <c r="F111" i="143"/>
  <c r="E57" i="156"/>
  <c r="A33" i="157"/>
  <c r="P30" i="165"/>
  <c r="I36" i="159"/>
  <c r="I26" i="159"/>
  <c r="L78" i="86"/>
  <c r="B54" i="86"/>
  <c r="B55" i="86" s="1"/>
  <c r="E62" i="156"/>
  <c r="B62" i="156"/>
  <c r="B64" i="156" s="1"/>
  <c r="B65" i="156" s="1"/>
  <c r="B50" i="172"/>
  <c r="L80" i="156"/>
  <c r="L152" i="86"/>
  <c r="F54" i="129"/>
  <c r="R29" i="129" s="1"/>
  <c r="F54" i="143"/>
  <c r="P28" i="143" s="1"/>
  <c r="L82" i="156" l="1"/>
  <c r="J82" i="156" s="1"/>
  <c r="J174" i="156" s="1"/>
  <c r="L174" i="156" s="1"/>
  <c r="G180" i="86"/>
  <c r="G173" i="86" s="1"/>
  <c r="G178" i="86" s="1"/>
  <c r="G184" i="86" s="1"/>
  <c r="L161" i="156"/>
  <c r="F30" i="165"/>
  <c r="R16" i="129"/>
  <c r="F15" i="129"/>
  <c r="F30" i="166"/>
  <c r="P15" i="143"/>
  <c r="F15" i="143"/>
  <c r="I37" i="94"/>
  <c r="I40" i="94" s="1"/>
  <c r="I42" i="94" s="1"/>
  <c r="I44" i="94" s="1"/>
  <c r="I37" i="170"/>
  <c r="I40" i="170" s="1"/>
  <c r="I42" i="170" s="1"/>
  <c r="I44" i="170" s="1"/>
  <c r="L81" i="86"/>
  <c r="B56" i="86"/>
  <c r="B57" i="86" s="1"/>
  <c r="E202" i="86"/>
  <c r="A35" i="157"/>
  <c r="E58" i="156"/>
  <c r="A41" i="71"/>
  <c r="E61" i="86"/>
  <c r="D41" i="71"/>
  <c r="L80" i="86"/>
  <c r="L82" i="86" s="1"/>
  <c r="J82" i="86" s="1"/>
  <c r="J174" i="86" s="1"/>
  <c r="L174" i="86" s="1"/>
  <c r="G36" i="159"/>
  <c r="G26" i="159"/>
  <c r="J26" i="159" s="1"/>
  <c r="L87" i="156" s="1"/>
  <c r="F32" i="165"/>
  <c r="P21" i="165" s="1"/>
  <c r="F32" i="166"/>
  <c r="R22" i="166" s="1"/>
  <c r="J138" i="86"/>
  <c r="L138" i="86" s="1"/>
  <c r="J101" i="86"/>
  <c r="L101" i="86" s="1"/>
  <c r="J158" i="86"/>
  <c r="L158" i="86" s="1"/>
  <c r="J160" i="86"/>
  <c r="L160" i="86" s="1"/>
  <c r="J140" i="86"/>
  <c r="L140" i="86" s="1"/>
  <c r="L142" i="86" s="1"/>
  <c r="L144" i="86" s="1"/>
  <c r="G25" i="89"/>
  <c r="J103" i="86"/>
  <c r="L103" i="86" s="1"/>
  <c r="I50" i="159"/>
  <c r="I51" i="159" s="1"/>
  <c r="I37" i="159"/>
  <c r="F110" i="165"/>
  <c r="B110" i="165"/>
  <c r="A57" i="95"/>
  <c r="A58" i="95" s="1"/>
  <c r="B66" i="156"/>
  <c r="B67" i="156" s="1"/>
  <c r="E77" i="156"/>
  <c r="F70" i="143"/>
  <c r="F70" i="129"/>
  <c r="G111" i="143"/>
  <c r="H111" i="143"/>
  <c r="I111" i="143" s="1"/>
  <c r="D112" i="143"/>
  <c r="I109" i="165"/>
  <c r="I26" i="89"/>
  <c r="I36" i="89"/>
  <c r="L74" i="86"/>
  <c r="A56" i="172"/>
  <c r="L106" i="156"/>
  <c r="L161" i="86" l="1"/>
  <c r="L106" i="86"/>
  <c r="F18" i="143"/>
  <c r="E23" i="143" s="1"/>
  <c r="F18" i="129"/>
  <c r="E23" i="129" s="1"/>
  <c r="F30" i="129"/>
  <c r="D111" i="165"/>
  <c r="H110" i="165"/>
  <c r="G110" i="165"/>
  <c r="G26" i="89"/>
  <c r="J26" i="89" s="1"/>
  <c r="L87" i="86" s="1"/>
  <c r="G36" i="89"/>
  <c r="B58" i="86"/>
  <c r="B59" i="86" s="1"/>
  <c r="A59" i="95"/>
  <c r="B59" i="95"/>
  <c r="G50" i="159"/>
  <c r="G37" i="159"/>
  <c r="J37" i="159" s="1"/>
  <c r="L88" i="156" s="1"/>
  <c r="A37" i="157"/>
  <c r="E59" i="156"/>
  <c r="I45" i="170"/>
  <c r="I47" i="170" s="1"/>
  <c r="G187" i="156" s="1"/>
  <c r="G189" i="156" s="1"/>
  <c r="F32" i="143"/>
  <c r="P21" i="143" s="1"/>
  <c r="F32" i="129"/>
  <c r="R22" i="129" s="1"/>
  <c r="A57" i="172"/>
  <c r="A58" i="172" s="1"/>
  <c r="B58" i="172"/>
  <c r="I50" i="89"/>
  <c r="I51" i="89" s="1"/>
  <c r="I37" i="89"/>
  <c r="B112" i="143"/>
  <c r="R31" i="129"/>
  <c r="B68" i="156"/>
  <c r="B69" i="156" s="1"/>
  <c r="B58" i="95"/>
  <c r="A43" i="71"/>
  <c r="A47" i="71" s="1"/>
  <c r="C43" i="71"/>
  <c r="I45" i="94"/>
  <c r="I47" i="94" s="1"/>
  <c r="G187" i="86" s="1"/>
  <c r="G189" i="86" s="1"/>
  <c r="E112" i="143"/>
  <c r="F112" i="143" s="1"/>
  <c r="P30" i="143"/>
  <c r="F30" i="143" l="1"/>
  <c r="G112" i="143"/>
  <c r="D113" i="143"/>
  <c r="H112" i="143"/>
  <c r="I112" i="143" s="1"/>
  <c r="E113" i="143"/>
  <c r="A61" i="95"/>
  <c r="E78" i="156"/>
  <c r="G62" i="159"/>
  <c r="G63" i="159" s="1"/>
  <c r="J63" i="159" s="1"/>
  <c r="L90" i="156" s="1"/>
  <c r="G51" i="159"/>
  <c r="J51" i="159" s="1"/>
  <c r="L89" i="156" s="1"/>
  <c r="I110" i="165"/>
  <c r="B70" i="156"/>
  <c r="B71" i="156" s="1"/>
  <c r="E79" i="156"/>
  <c r="G37" i="89"/>
  <c r="J37" i="89" s="1"/>
  <c r="L88" i="86" s="1"/>
  <c r="G50" i="89"/>
  <c r="F111" i="165"/>
  <c r="B111" i="165"/>
  <c r="C51" i="71"/>
  <c r="A48" i="71"/>
  <c r="A49" i="71" s="1"/>
  <c r="A59" i="172"/>
  <c r="B59" i="172"/>
  <c r="E60" i="156"/>
  <c r="A39" i="157"/>
  <c r="D43" i="157"/>
  <c r="B60" i="86"/>
  <c r="B61" i="86" s="1"/>
  <c r="E111" i="165"/>
  <c r="L91" i="156" l="1"/>
  <c r="L110" i="156" s="1"/>
  <c r="E22" i="166"/>
  <c r="E22" i="165"/>
  <c r="L180" i="156"/>
  <c r="A41" i="157"/>
  <c r="E61" i="156"/>
  <c r="D41" i="157"/>
  <c r="G111" i="165"/>
  <c r="D112" i="165"/>
  <c r="E112" i="165"/>
  <c r="H111" i="165"/>
  <c r="E65" i="86"/>
  <c r="A51" i="71"/>
  <c r="A52" i="71" s="1"/>
  <c r="A53" i="71" s="1"/>
  <c r="B62" i="86"/>
  <c r="B64" i="86" s="1"/>
  <c r="B65" i="86" s="1"/>
  <c r="E62" i="86"/>
  <c r="G62" i="89"/>
  <c r="G63" i="89" s="1"/>
  <c r="J63" i="89" s="1"/>
  <c r="L90" i="86" s="1"/>
  <c r="G51" i="89"/>
  <c r="J51" i="89" s="1"/>
  <c r="L89" i="86" s="1"/>
  <c r="B72" i="156"/>
  <c r="B73" i="156" s="1"/>
  <c r="A62" i="95"/>
  <c r="F113" i="143"/>
  <c r="B113" i="143"/>
  <c r="A61" i="172"/>
  <c r="L91" i="86" l="1"/>
  <c r="L110" i="86" s="1"/>
  <c r="H113" i="143"/>
  <c r="G113" i="143"/>
  <c r="E114" i="143"/>
  <c r="D114" i="143"/>
  <c r="B74" i="156"/>
  <c r="B76" i="156" s="1"/>
  <c r="B77" i="156" s="1"/>
  <c r="E81" i="156"/>
  <c r="E74" i="156"/>
  <c r="B66" i="86"/>
  <c r="B67" i="86" s="1"/>
  <c r="E77" i="86"/>
  <c r="L173" i="156"/>
  <c r="L178" i="156" s="1"/>
  <c r="F42" i="165"/>
  <c r="P25" i="165" s="1"/>
  <c r="F42" i="166"/>
  <c r="R26" i="166" s="1"/>
  <c r="E22" i="143"/>
  <c r="E22" i="129"/>
  <c r="L180" i="86"/>
  <c r="I111" i="165"/>
  <c r="A62" i="172"/>
  <c r="A63" i="95"/>
  <c r="A64" i="95" s="1"/>
  <c r="B64" i="95"/>
  <c r="P19" i="165"/>
  <c r="E24" i="165"/>
  <c r="E80" i="156"/>
  <c r="E66" i="86"/>
  <c r="A55" i="71"/>
  <c r="B112" i="165"/>
  <c r="F112" i="165"/>
  <c r="C43" i="157"/>
  <c r="A43" i="157"/>
  <c r="A47" i="157" s="1"/>
  <c r="E24" i="166"/>
  <c r="R20" i="166"/>
  <c r="F49" i="166" l="1"/>
  <c r="F28" i="166"/>
  <c r="F31" i="166" s="1"/>
  <c r="F35" i="166" s="1"/>
  <c r="F50" i="166" s="1"/>
  <c r="A48" i="157"/>
  <c r="A49" i="157" s="1"/>
  <c r="C51" i="157"/>
  <c r="F28" i="165"/>
  <c r="F31" i="165" s="1"/>
  <c r="F35" i="165" s="1"/>
  <c r="F50" i="165" s="1"/>
  <c r="F49" i="165"/>
  <c r="F42" i="143"/>
  <c r="P25" i="143" s="1"/>
  <c r="F42" i="129"/>
  <c r="R26" i="129" s="1"/>
  <c r="L173" i="86"/>
  <c r="L178" i="86" s="1"/>
  <c r="B68" i="86"/>
  <c r="B69" i="86" s="1"/>
  <c r="E78" i="86"/>
  <c r="F114" i="143"/>
  <c r="B114" i="143"/>
  <c r="A56" i="71"/>
  <c r="A57" i="71" s="1"/>
  <c r="C80" i="71"/>
  <c r="C59" i="71"/>
  <c r="B64" i="172"/>
  <c r="A63" i="172"/>
  <c r="A64" i="172" s="1"/>
  <c r="E24" i="129"/>
  <c r="R20" i="129"/>
  <c r="F43" i="165"/>
  <c r="P26" i="165" s="1"/>
  <c r="F43" i="166"/>
  <c r="R27" i="166" s="1"/>
  <c r="L184" i="156"/>
  <c r="G112" i="165"/>
  <c r="H112" i="165"/>
  <c r="I112" i="165" s="1"/>
  <c r="D113" i="165"/>
  <c r="E24" i="143"/>
  <c r="P19" i="143"/>
  <c r="A65" i="95"/>
  <c r="B67" i="95"/>
  <c r="B65" i="95"/>
  <c r="B78" i="156"/>
  <c r="I113" i="143"/>
  <c r="F28" i="143" l="1"/>
  <c r="F31" i="143" s="1"/>
  <c r="F35" i="143" s="1"/>
  <c r="F50" i="143" s="1"/>
  <c r="F49" i="143"/>
  <c r="H114" i="143"/>
  <c r="G114" i="143"/>
  <c r="D115" i="143"/>
  <c r="E115" i="143"/>
  <c r="B113" i="165"/>
  <c r="E65" i="156"/>
  <c r="A51" i="157"/>
  <c r="A52" i="157" s="1"/>
  <c r="A53" i="157" s="1"/>
  <c r="K37" i="170"/>
  <c r="K40" i="170" s="1"/>
  <c r="K42" i="170" s="1"/>
  <c r="K44" i="170" s="1"/>
  <c r="F28" i="129"/>
  <c r="F31" i="129" s="1"/>
  <c r="F35" i="129" s="1"/>
  <c r="F50" i="129" s="1"/>
  <c r="F49" i="129"/>
  <c r="A67" i="95"/>
  <c r="B68" i="95"/>
  <c r="E113" i="165"/>
  <c r="F113" i="165" s="1"/>
  <c r="A65" i="172"/>
  <c r="B67" i="172"/>
  <c r="B65" i="172"/>
  <c r="A59" i="71"/>
  <c r="A60" i="71" s="1"/>
  <c r="A61" i="71" s="1"/>
  <c r="D91" i="71"/>
  <c r="B70" i="86"/>
  <c r="B71" i="86" s="1"/>
  <c r="C70" i="166"/>
  <c r="S31" i="166" s="1"/>
  <c r="E25" i="156"/>
  <c r="B79" i="156"/>
  <c r="B80" i="156" s="1"/>
  <c r="B81" i="156" s="1"/>
  <c r="C70" i="165"/>
  <c r="Q30" i="165" s="1"/>
  <c r="F43" i="129"/>
  <c r="R27" i="129" s="1"/>
  <c r="F43" i="143"/>
  <c r="P26" i="143" s="1"/>
  <c r="L184" i="86"/>
  <c r="G113" i="165" l="1"/>
  <c r="H113" i="165"/>
  <c r="I113" i="165" s="1"/>
  <c r="D114" i="165"/>
  <c r="B13" i="95"/>
  <c r="D232" i="86"/>
  <c r="A68" i="95"/>
  <c r="K45" i="170"/>
  <c r="K47" i="170" s="1"/>
  <c r="L187" i="156" s="1"/>
  <c r="E79" i="86"/>
  <c r="A67" i="172"/>
  <c r="B68" i="172"/>
  <c r="I114" i="143"/>
  <c r="K37" i="94"/>
  <c r="K40" i="94" s="1"/>
  <c r="K42" i="94" s="1"/>
  <c r="K44" i="94" s="1"/>
  <c r="B82" i="156"/>
  <c r="E82" i="156"/>
  <c r="B72" i="86"/>
  <c r="B73" i="86" s="1"/>
  <c r="E68" i="86"/>
  <c r="A63" i="71"/>
  <c r="E66" i="156"/>
  <c r="A55" i="157"/>
  <c r="F115" i="143"/>
  <c r="B115" i="143"/>
  <c r="F44" i="166" l="1"/>
  <c r="R28" i="166" s="1"/>
  <c r="F44" i="165"/>
  <c r="P27" i="165" s="1"/>
  <c r="L189" i="156"/>
  <c r="C80" i="157"/>
  <c r="C59" i="157"/>
  <c r="A56" i="157"/>
  <c r="A57" i="157" s="1"/>
  <c r="B85" i="156"/>
  <c r="B86" i="156" s="1"/>
  <c r="B114" i="165"/>
  <c r="E80" i="86"/>
  <c r="B13" i="172"/>
  <c r="A68" i="172"/>
  <c r="D232" i="156"/>
  <c r="E222" i="86"/>
  <c r="A69" i="95"/>
  <c r="B69" i="95"/>
  <c r="D116" i="143"/>
  <c r="E116" i="143"/>
  <c r="H115" i="143"/>
  <c r="I115" i="143" s="1"/>
  <c r="G115" i="143"/>
  <c r="B74" i="86"/>
  <c r="B76" i="86" s="1"/>
  <c r="B77" i="86" s="1"/>
  <c r="E81" i="86"/>
  <c r="E74" i="86"/>
  <c r="K45" i="94"/>
  <c r="K47" i="94" s="1"/>
  <c r="L187" i="86" s="1"/>
  <c r="A65" i="71"/>
  <c r="C65" i="71"/>
  <c r="E69" i="86"/>
  <c r="E114" i="165"/>
  <c r="F114" i="165" s="1"/>
  <c r="H114" i="165" l="1"/>
  <c r="G114" i="165"/>
  <c r="D115" i="165"/>
  <c r="F44" i="129"/>
  <c r="R28" i="129" s="1"/>
  <c r="F44" i="143"/>
  <c r="P27" i="143" s="1"/>
  <c r="L189" i="86"/>
  <c r="B87" i="156"/>
  <c r="B88" i="156" s="1"/>
  <c r="B89" i="156" s="1"/>
  <c r="B90" i="156" s="1"/>
  <c r="B91" i="156" s="1"/>
  <c r="E70" i="86"/>
  <c r="A67" i="71"/>
  <c r="F41" i="165"/>
  <c r="L11" i="156"/>
  <c r="F41" i="166"/>
  <c r="B78" i="86"/>
  <c r="F116" i="143"/>
  <c r="B116" i="143"/>
  <c r="A59" i="157"/>
  <c r="A60" i="157" s="1"/>
  <c r="A61" i="157" s="1"/>
  <c r="D91" i="157"/>
  <c r="E222" i="156"/>
  <c r="A69" i="172"/>
  <c r="B69" i="172"/>
  <c r="A63" i="157" l="1"/>
  <c r="E68" i="156"/>
  <c r="E91" i="156"/>
  <c r="F115" i="165"/>
  <c r="B115" i="165"/>
  <c r="R25" i="166"/>
  <c r="F45" i="166"/>
  <c r="F48" i="166" s="1"/>
  <c r="F51" i="166" s="1"/>
  <c r="C69" i="71"/>
  <c r="A69" i="71"/>
  <c r="E71" i="86"/>
  <c r="F41" i="129"/>
  <c r="L11" i="86"/>
  <c r="F41" i="143"/>
  <c r="E115" i="165"/>
  <c r="D117" i="143"/>
  <c r="G116" i="143"/>
  <c r="H116" i="143"/>
  <c r="I116" i="143" s="1"/>
  <c r="L17" i="156"/>
  <c r="M13" i="178"/>
  <c r="M19" i="178" s="1"/>
  <c r="M27" i="178" s="1"/>
  <c r="M31" i="178" s="1"/>
  <c r="M13" i="147"/>
  <c r="M19" i="147" s="1"/>
  <c r="M27" i="147" s="1"/>
  <c r="M31" i="147" s="1"/>
  <c r="M35" i="147" s="1"/>
  <c r="L29" i="156"/>
  <c r="L32" i="156"/>
  <c r="L25" i="156"/>
  <c r="L26" i="156" s="1"/>
  <c r="E25" i="86"/>
  <c r="C70" i="143"/>
  <c r="Q30" i="143" s="1"/>
  <c r="B79" i="86"/>
  <c r="B80" i="86" s="1"/>
  <c r="B81" i="86" s="1"/>
  <c r="C70" i="129"/>
  <c r="S31" i="129" s="1"/>
  <c r="F45" i="165"/>
  <c r="F48" i="165" s="1"/>
  <c r="F51" i="165" s="1"/>
  <c r="P24" i="165"/>
  <c r="B93" i="156"/>
  <c r="B95" i="156" s="1"/>
  <c r="B97" i="156" s="1"/>
  <c r="B98" i="156" s="1"/>
  <c r="I114" i="165"/>
  <c r="B99" i="156" l="1"/>
  <c r="B100" i="156" s="1"/>
  <c r="B101" i="156" s="1"/>
  <c r="B102" i="156" s="1"/>
  <c r="B103" i="156" s="1"/>
  <c r="B104" i="156" s="1"/>
  <c r="B105" i="156" s="1"/>
  <c r="B106" i="156" s="1"/>
  <c r="B108" i="156" s="1"/>
  <c r="B110" i="156" s="1"/>
  <c r="B117" i="143"/>
  <c r="R25" i="129"/>
  <c r="F45" i="129"/>
  <c r="F48" i="129" s="1"/>
  <c r="F51" i="129" s="1"/>
  <c r="F76" i="166"/>
  <c r="F76" i="165"/>
  <c r="F58" i="166"/>
  <c r="F61" i="166" s="1"/>
  <c r="F63" i="166" s="1"/>
  <c r="F65" i="166" s="1"/>
  <c r="F58" i="165"/>
  <c r="F61" i="165" s="1"/>
  <c r="F63" i="165" s="1"/>
  <c r="F65" i="165" s="1"/>
  <c r="F45" i="143"/>
  <c r="F48" i="143" s="1"/>
  <c r="F51" i="143" s="1"/>
  <c r="P24" i="143"/>
  <c r="D110" i="156"/>
  <c r="E117" i="143"/>
  <c r="F117" i="143" s="1"/>
  <c r="K13" i="147"/>
  <c r="K13" i="178"/>
  <c r="L17" i="86"/>
  <c r="L29" i="86"/>
  <c r="L25" i="86"/>
  <c r="L26" i="86" s="1"/>
  <c r="L32" i="86"/>
  <c r="A71" i="71"/>
  <c r="E72" i="86"/>
  <c r="D75" i="71"/>
  <c r="B82" i="86"/>
  <c r="E82" i="86"/>
  <c r="G115" i="165"/>
  <c r="H115" i="165"/>
  <c r="I115" i="165" s="1"/>
  <c r="D116" i="165"/>
  <c r="E116" i="165" s="1"/>
  <c r="A65" i="157"/>
  <c r="E69" i="156"/>
  <c r="C65" i="157"/>
  <c r="D118" i="143" l="1"/>
  <c r="E118" i="143"/>
  <c r="H117" i="143"/>
  <c r="G117" i="143"/>
  <c r="B85" i="86"/>
  <c r="B86" i="86" s="1"/>
  <c r="E73" i="86"/>
  <c r="A73" i="71"/>
  <c r="D73" i="71"/>
  <c r="P31" i="165"/>
  <c r="I101" i="165"/>
  <c r="I102" i="165" s="1"/>
  <c r="F116" i="165"/>
  <c r="B116" i="165"/>
  <c r="K19" i="178"/>
  <c r="I13" i="178"/>
  <c r="F66" i="165"/>
  <c r="F67" i="165" s="1"/>
  <c r="F52" i="165" s="1"/>
  <c r="F53" i="165" s="1"/>
  <c r="R32" i="166"/>
  <c r="J102" i="166"/>
  <c r="J103" i="166" s="1"/>
  <c r="K19" i="147"/>
  <c r="I13" i="147"/>
  <c r="F58" i="129"/>
  <c r="F61" i="129" s="1"/>
  <c r="F63" i="129" s="1"/>
  <c r="F65" i="129" s="1"/>
  <c r="E106" i="156"/>
  <c r="A67" i="157"/>
  <c r="E70" i="156"/>
  <c r="F76" i="143"/>
  <c r="F76" i="129"/>
  <c r="F58" i="143"/>
  <c r="F61" i="143" s="1"/>
  <c r="F63" i="143" s="1"/>
  <c r="F65" i="143" s="1"/>
  <c r="F66" i="166"/>
  <c r="F67" i="166" s="1"/>
  <c r="F52" i="166" s="1"/>
  <c r="F53" i="166" s="1"/>
  <c r="C22" i="166"/>
  <c r="S20" i="166" s="1"/>
  <c r="B125" i="156"/>
  <c r="C22" i="165"/>
  <c r="Q19" i="165" s="1"/>
  <c r="F55" i="166" l="1"/>
  <c r="F74" i="166" s="1"/>
  <c r="F75" i="166" s="1"/>
  <c r="F77" i="166" s="1"/>
  <c r="F71" i="166"/>
  <c r="F72" i="166" s="1"/>
  <c r="E71" i="156"/>
  <c r="A69" i="157"/>
  <c r="C69" i="157"/>
  <c r="P31" i="143"/>
  <c r="I101" i="143"/>
  <c r="K20" i="147"/>
  <c r="M20" i="147" s="1"/>
  <c r="K27" i="147"/>
  <c r="I19" i="147"/>
  <c r="D117" i="165"/>
  <c r="H116" i="165"/>
  <c r="I116" i="165" s="1"/>
  <c r="E117" i="165"/>
  <c r="G116" i="165"/>
  <c r="C75" i="71"/>
  <c r="A75" i="71"/>
  <c r="A79" i="71" s="1"/>
  <c r="B126" i="156"/>
  <c r="B127" i="156" s="1"/>
  <c r="F66" i="129"/>
  <c r="F67" i="129" s="1"/>
  <c r="F52" i="129" s="1"/>
  <c r="F53" i="129" s="1"/>
  <c r="I117" i="143"/>
  <c r="J102" i="129"/>
  <c r="J103" i="129" s="1"/>
  <c r="R32" i="129"/>
  <c r="F71" i="165"/>
  <c r="F72" i="165" s="1"/>
  <c r="F55" i="165"/>
  <c r="F74" i="165" s="1"/>
  <c r="F75" i="165" s="1"/>
  <c r="F77" i="165" s="1"/>
  <c r="F66" i="143"/>
  <c r="F67" i="143" s="1"/>
  <c r="F52" i="143" s="1"/>
  <c r="F53" i="143" s="1"/>
  <c r="K27" i="178"/>
  <c r="I19" i="178"/>
  <c r="K20" i="178" s="1"/>
  <c r="B87" i="86"/>
  <c r="B88" i="86" s="1"/>
  <c r="B89" i="86" s="1"/>
  <c r="B90" i="86" s="1"/>
  <c r="B91" i="86" s="1"/>
  <c r="E91" i="86"/>
  <c r="B118" i="143"/>
  <c r="F118" i="143"/>
  <c r="F55" i="143" l="1"/>
  <c r="F74" i="143" s="1"/>
  <c r="F75" i="143" s="1"/>
  <c r="F77" i="143" s="1"/>
  <c r="F71" i="143"/>
  <c r="F72" i="143" s="1"/>
  <c r="F71" i="129"/>
  <c r="F72" i="129" s="1"/>
  <c r="F55" i="129"/>
  <c r="F74" i="129" s="1"/>
  <c r="F75" i="129" s="1"/>
  <c r="F77" i="129" s="1"/>
  <c r="B93" i="86"/>
  <c r="B95" i="86" s="1"/>
  <c r="B97" i="86" s="1"/>
  <c r="B98" i="86" s="1"/>
  <c r="B117" i="165"/>
  <c r="F117" i="165"/>
  <c r="I102" i="143"/>
  <c r="H106" i="143" s="1"/>
  <c r="G106" i="143"/>
  <c r="E72" i="156"/>
  <c r="A71" i="157"/>
  <c r="D75" i="157"/>
  <c r="I27" i="178"/>
  <c r="I31" i="178" s="1"/>
  <c r="I35" i="178" s="1"/>
  <c r="I39" i="178" s="1"/>
  <c r="K31" i="178"/>
  <c r="G118" i="143"/>
  <c r="D119" i="143"/>
  <c r="E119" i="143" s="1"/>
  <c r="H118" i="143"/>
  <c r="I118" i="143" s="1"/>
  <c r="M20" i="178"/>
  <c r="M33" i="178" s="1"/>
  <c r="M35" i="178" s="1"/>
  <c r="M39" i="178" s="1"/>
  <c r="K33" i="178"/>
  <c r="B128" i="156"/>
  <c r="D274" i="156"/>
  <c r="K31" i="147"/>
  <c r="K35" i="147" s="1"/>
  <c r="I27" i="147"/>
  <c r="I31" i="147" s="1"/>
  <c r="I35" i="147" s="1"/>
  <c r="A80" i="71"/>
  <c r="D204" i="86"/>
  <c r="D81" i="71"/>
  <c r="E73" i="156" l="1"/>
  <c r="A73" i="157"/>
  <c r="D73" i="157"/>
  <c r="H117" i="165"/>
  <c r="D118" i="165"/>
  <c r="E118" i="165" s="1"/>
  <c r="G117" i="165"/>
  <c r="K35" i="178"/>
  <c r="K39" i="178" s="1"/>
  <c r="A81" i="71"/>
  <c r="A85" i="71" s="1"/>
  <c r="B129" i="156"/>
  <c r="B130" i="156" s="1"/>
  <c r="E130" i="156"/>
  <c r="B119" i="143"/>
  <c r="F119" i="143"/>
  <c r="I106" i="143"/>
  <c r="B99" i="86"/>
  <c r="B100" i="86" s="1"/>
  <c r="B101" i="86" s="1"/>
  <c r="B102" i="86" s="1"/>
  <c r="B103" i="86" s="1"/>
  <c r="B104" i="86" s="1"/>
  <c r="B105" i="86" s="1"/>
  <c r="B106" i="86" s="1"/>
  <c r="B108" i="86" s="1"/>
  <c r="B110" i="86" s="1"/>
  <c r="I117" i="165" l="1"/>
  <c r="B125" i="86"/>
  <c r="C22" i="143"/>
  <c r="Q19" i="143" s="1"/>
  <c r="C22" i="129"/>
  <c r="S20" i="129" s="1"/>
  <c r="D268" i="156"/>
  <c r="E98" i="156"/>
  <c r="B132" i="156"/>
  <c r="H119" i="143"/>
  <c r="G119" i="143"/>
  <c r="E120" i="143"/>
  <c r="D120" i="143"/>
  <c r="D110" i="86"/>
  <c r="C75" i="157"/>
  <c r="A75" i="157"/>
  <c r="A79" i="157" s="1"/>
  <c r="E106" i="86"/>
  <c r="A86" i="71"/>
  <c r="D203" i="86"/>
  <c r="B118" i="165"/>
  <c r="F118" i="165"/>
  <c r="A87" i="71" l="1"/>
  <c r="A91" i="71" s="1"/>
  <c r="D93" i="71"/>
  <c r="D204" i="156"/>
  <c r="A80" i="157"/>
  <c r="I119" i="143"/>
  <c r="B126" i="86"/>
  <c r="B127" i="86" s="1"/>
  <c r="H118" i="165"/>
  <c r="I118" i="165" s="1"/>
  <c r="G118" i="165"/>
  <c r="D119" i="165"/>
  <c r="D87" i="71"/>
  <c r="B120" i="143"/>
  <c r="F120" i="143"/>
  <c r="B133" i="156"/>
  <c r="A81" i="157" l="1"/>
  <c r="A85" i="157" s="1"/>
  <c r="B119" i="165"/>
  <c r="B134" i="156"/>
  <c r="B135" i="156" s="1"/>
  <c r="B136" i="156" s="1"/>
  <c r="E138" i="156"/>
  <c r="H120" i="143"/>
  <c r="G120" i="143"/>
  <c r="D121" i="143"/>
  <c r="E119" i="165"/>
  <c r="F119" i="165" s="1"/>
  <c r="D14" i="149"/>
  <c r="B128" i="86"/>
  <c r="D274" i="86"/>
  <c r="D81" i="157"/>
  <c r="A93" i="71"/>
  <c r="A95" i="71" s="1"/>
  <c r="D120" i="165" l="1"/>
  <c r="H119" i="165"/>
  <c r="E120" i="165"/>
  <c r="G119" i="165"/>
  <c r="I120" i="143"/>
  <c r="B121" i="143"/>
  <c r="D95" i="71"/>
  <c r="B129" i="86"/>
  <c r="B130" i="86" s="1"/>
  <c r="E130" i="86"/>
  <c r="B137" i="156"/>
  <c r="E137" i="156"/>
  <c r="A99" i="71"/>
  <c r="E67" i="86"/>
  <c r="E121" i="143"/>
  <c r="F121" i="143" s="1"/>
  <c r="A86" i="157"/>
  <c r="D203" i="156"/>
  <c r="H121" i="143" l="1"/>
  <c r="G121" i="143"/>
  <c r="D122" i="143"/>
  <c r="A87" i="157"/>
  <c r="A91" i="157" s="1"/>
  <c r="D93" i="157"/>
  <c r="D268" i="86"/>
  <c r="B132" i="86"/>
  <c r="E98" i="86"/>
  <c r="I119" i="165"/>
  <c r="C101" i="71"/>
  <c r="A101" i="71"/>
  <c r="A107" i="71" s="1"/>
  <c r="A108" i="71" s="1"/>
  <c r="A109" i="71" s="1"/>
  <c r="A110" i="71" s="1"/>
  <c r="A111" i="71" s="1"/>
  <c r="A112" i="71" s="1"/>
  <c r="E95" i="86" s="1"/>
  <c r="E93" i="86"/>
  <c r="D87" i="157"/>
  <c r="B138" i="156"/>
  <c r="B139" i="156" s="1"/>
  <c r="B140" i="156" s="1"/>
  <c r="B141" i="156" s="1"/>
  <c r="B142" i="156" s="1"/>
  <c r="F120" i="165"/>
  <c r="B120" i="165"/>
  <c r="B144" i="156" l="1"/>
  <c r="E144" i="156"/>
  <c r="B122" i="143"/>
  <c r="D121" i="165"/>
  <c r="E121" i="165" s="1"/>
  <c r="H120" i="165"/>
  <c r="I120" i="165" s="1"/>
  <c r="G120" i="165"/>
  <c r="I121" i="143"/>
  <c r="E142" i="156"/>
  <c r="B133" i="86"/>
  <c r="A93" i="157"/>
  <c r="A95" i="157" s="1"/>
  <c r="E122" i="143"/>
  <c r="F122" i="143" s="1"/>
  <c r="E123" i="143" l="1"/>
  <c r="H122" i="143"/>
  <c r="G122" i="143"/>
  <c r="D123" i="143"/>
  <c r="B134" i="86"/>
  <c r="B135" i="86" s="1"/>
  <c r="B136" i="86" s="1"/>
  <c r="B137" i="86" s="1"/>
  <c r="E138" i="86"/>
  <c r="A99" i="157"/>
  <c r="E67" i="156"/>
  <c r="D95" i="157"/>
  <c r="E137" i="86"/>
  <c r="B121" i="165"/>
  <c r="F121" i="165"/>
  <c r="B146" i="156"/>
  <c r="B147" i="156" s="1"/>
  <c r="B123" i="143" l="1"/>
  <c r="F123" i="143"/>
  <c r="B148" i="156"/>
  <c r="B149" i="156" s="1"/>
  <c r="E149" i="156"/>
  <c r="D122" i="165"/>
  <c r="E122" i="165" s="1"/>
  <c r="H121" i="165"/>
  <c r="G121" i="165"/>
  <c r="A101" i="157"/>
  <c r="A107" i="157" s="1"/>
  <c r="A108" i="157" s="1"/>
  <c r="A109" i="157" s="1"/>
  <c r="A110" i="157" s="1"/>
  <c r="A111" i="157" s="1"/>
  <c r="A112" i="157" s="1"/>
  <c r="E95" i="156" s="1"/>
  <c r="C101" i="157"/>
  <c r="I122" i="143"/>
  <c r="B138" i="86"/>
  <c r="B139" i="86" s="1"/>
  <c r="B140" i="86" s="1"/>
  <c r="B141" i="86" s="1"/>
  <c r="B142" i="86" s="1"/>
  <c r="E142" i="86"/>
  <c r="I121" i="165" l="1"/>
  <c r="C84" i="166"/>
  <c r="S36" i="166" s="1"/>
  <c r="C84" i="165"/>
  <c r="Q35" i="165" s="1"/>
  <c r="C54" i="166"/>
  <c r="S29" i="166" s="1"/>
  <c r="C54" i="165"/>
  <c r="Q28" i="165" s="1"/>
  <c r="B150" i="156"/>
  <c r="B151" i="156" s="1"/>
  <c r="B152" i="156" s="1"/>
  <c r="E29" i="156"/>
  <c r="B144" i="86"/>
  <c r="E144" i="86"/>
  <c r="E93" i="156"/>
  <c r="H123" i="143"/>
  <c r="G123" i="143"/>
  <c r="E124" i="143"/>
  <c r="D124" i="143"/>
  <c r="B122" i="165"/>
  <c r="F122" i="165"/>
  <c r="B124" i="143" l="1"/>
  <c r="F124" i="143"/>
  <c r="E152" i="156"/>
  <c r="B154" i="156"/>
  <c r="B155" i="156" s="1"/>
  <c r="B156" i="156" s="1"/>
  <c r="D123" i="165"/>
  <c r="E123" i="165"/>
  <c r="G122" i="165"/>
  <c r="H122" i="165"/>
  <c r="I122" i="165" s="1"/>
  <c r="B146" i="86"/>
  <c r="B147" i="86" s="1"/>
  <c r="I123" i="143"/>
  <c r="B157" i="156" l="1"/>
  <c r="B158" i="156" s="1"/>
  <c r="B159" i="156" s="1"/>
  <c r="B160" i="156" s="1"/>
  <c r="B161" i="156" s="1"/>
  <c r="B148" i="86"/>
  <c r="B149" i="86" s="1"/>
  <c r="F123" i="165"/>
  <c r="B123" i="165"/>
  <c r="G124" i="143"/>
  <c r="H124" i="143"/>
  <c r="D125" i="143"/>
  <c r="E125" i="143" s="1"/>
  <c r="E29" i="86" l="1"/>
  <c r="C84" i="143"/>
  <c r="Q35" i="143" s="1"/>
  <c r="C54" i="129"/>
  <c r="S29" i="129" s="1"/>
  <c r="C54" i="143"/>
  <c r="Q28" i="143" s="1"/>
  <c r="B150" i="86"/>
  <c r="B151" i="86" s="1"/>
  <c r="B152" i="86" s="1"/>
  <c r="C84" i="129"/>
  <c r="S36" i="129" s="1"/>
  <c r="E152" i="86"/>
  <c r="E149" i="86"/>
  <c r="B163" i="156"/>
  <c r="B164" i="156" s="1"/>
  <c r="F125" i="143"/>
  <c r="B125" i="143"/>
  <c r="I124" i="143"/>
  <c r="D124" i="165"/>
  <c r="H123" i="165"/>
  <c r="I123" i="165" s="1"/>
  <c r="E124" i="165"/>
  <c r="G123" i="165"/>
  <c r="E161" i="156"/>
  <c r="G125" i="143" l="1"/>
  <c r="D126" i="143"/>
  <c r="H125" i="143"/>
  <c r="E126" i="143"/>
  <c r="B124" i="165"/>
  <c r="F124" i="165"/>
  <c r="C29" i="166"/>
  <c r="S21" i="166" s="1"/>
  <c r="D168" i="156"/>
  <c r="C29" i="165"/>
  <c r="Q20" i="165" s="1"/>
  <c r="D294" i="156"/>
  <c r="B165" i="156"/>
  <c r="B154" i="86"/>
  <c r="B155" i="86" s="1"/>
  <c r="B156" i="86" s="1"/>
  <c r="B157" i="86" l="1"/>
  <c r="B158" i="86" s="1"/>
  <c r="B159" i="86" s="1"/>
  <c r="B160" i="86" s="1"/>
  <c r="B161" i="86" s="1"/>
  <c r="B166" i="156"/>
  <c r="B167" i="156" s="1"/>
  <c r="B168" i="156" s="1"/>
  <c r="I125" i="143"/>
  <c r="D125" i="165"/>
  <c r="E125" i="165"/>
  <c r="H124" i="165"/>
  <c r="I124" i="165" s="1"/>
  <c r="G124" i="165"/>
  <c r="B126" i="143"/>
  <c r="F126" i="143"/>
  <c r="B169" i="156" l="1"/>
  <c r="B170" i="156" s="1"/>
  <c r="B171" i="156" s="1"/>
  <c r="B173" i="156" s="1"/>
  <c r="E175" i="156"/>
  <c r="D127" i="143"/>
  <c r="G126" i="143"/>
  <c r="E127" i="143"/>
  <c r="H126" i="143"/>
  <c r="I126" i="143" s="1"/>
  <c r="B125" i="165"/>
  <c r="F125" i="165"/>
  <c r="B163" i="86"/>
  <c r="B164" i="86" s="1"/>
  <c r="E161" i="86"/>
  <c r="D294" i="86" l="1"/>
  <c r="B165" i="86"/>
  <c r="C29" i="143"/>
  <c r="Q20" i="143" s="1"/>
  <c r="D168" i="86"/>
  <c r="C29" i="129"/>
  <c r="S21" i="129" s="1"/>
  <c r="E174" i="156"/>
  <c r="E126" i="165"/>
  <c r="H125" i="165"/>
  <c r="G125" i="165"/>
  <c r="D126" i="165"/>
  <c r="B174" i="156"/>
  <c r="F127" i="143"/>
  <c r="B127" i="143"/>
  <c r="E176" i="156"/>
  <c r="E128" i="143" l="1"/>
  <c r="H127" i="143"/>
  <c r="D128" i="143"/>
  <c r="G127" i="143"/>
  <c r="B175" i="156"/>
  <c r="C32" i="165"/>
  <c r="Q21" i="165" s="1"/>
  <c r="C32" i="166"/>
  <c r="S22" i="166" s="1"/>
  <c r="I125" i="165"/>
  <c r="B126" i="165"/>
  <c r="F126" i="165"/>
  <c r="B166" i="86"/>
  <c r="B167" i="86" s="1"/>
  <c r="B168" i="86" s="1"/>
  <c r="G126" i="165" l="1"/>
  <c r="H126" i="165"/>
  <c r="I126" i="165" s="1"/>
  <c r="D127" i="165"/>
  <c r="B128" i="143"/>
  <c r="F128" i="143"/>
  <c r="B169" i="86"/>
  <c r="B170" i="86" s="1"/>
  <c r="B171" i="86" s="1"/>
  <c r="B173" i="86" s="1"/>
  <c r="E175" i="86"/>
  <c r="E174" i="86"/>
  <c r="I127" i="143"/>
  <c r="B176" i="156"/>
  <c r="C33" i="165"/>
  <c r="Q22" i="165" s="1"/>
  <c r="C33" i="166"/>
  <c r="S23" i="166" s="1"/>
  <c r="B127" i="165" l="1"/>
  <c r="C34" i="165"/>
  <c r="Q23" i="165" s="1"/>
  <c r="B178" i="156"/>
  <c r="C34" i="166"/>
  <c r="S24" i="166" s="1"/>
  <c r="E178" i="156"/>
  <c r="B174" i="86"/>
  <c r="H128" i="143"/>
  <c r="D129" i="143"/>
  <c r="E129" i="143" s="1"/>
  <c r="G128" i="143"/>
  <c r="E127" i="165"/>
  <c r="F127" i="165" s="1"/>
  <c r="E176" i="86"/>
  <c r="G127" i="165" l="1"/>
  <c r="H127" i="165"/>
  <c r="I127" i="165" s="1"/>
  <c r="D128" i="165"/>
  <c r="E128" i="165"/>
  <c r="C32" i="129"/>
  <c r="S22" i="129" s="1"/>
  <c r="B175" i="86"/>
  <c r="C32" i="143"/>
  <c r="Q21" i="143" s="1"/>
  <c r="C43" i="166"/>
  <c r="S27" i="166" s="1"/>
  <c r="C43" i="165"/>
  <c r="Q26" i="165" s="1"/>
  <c r="B180" i="156"/>
  <c r="E32" i="156"/>
  <c r="F129" i="143"/>
  <c r="B129" i="143"/>
  <c r="I128" i="143"/>
  <c r="D130" i="143" l="1"/>
  <c r="E130" i="143"/>
  <c r="G129" i="143"/>
  <c r="H129" i="143"/>
  <c r="I129" i="143" s="1"/>
  <c r="B128" i="165"/>
  <c r="F128" i="165"/>
  <c r="B182" i="156"/>
  <c r="C42" i="165"/>
  <c r="Q25" i="165" s="1"/>
  <c r="C42" i="166"/>
  <c r="S26" i="166" s="1"/>
  <c r="E173" i="156"/>
  <c r="C33" i="143"/>
  <c r="Q22" i="143" s="1"/>
  <c r="B176" i="86"/>
  <c r="C33" i="129"/>
  <c r="S23" i="129" s="1"/>
  <c r="B178" i="86" l="1"/>
  <c r="C34" i="143"/>
  <c r="Q23" i="143" s="1"/>
  <c r="C34" i="129"/>
  <c r="S24" i="129" s="1"/>
  <c r="E178" i="86"/>
  <c r="B184" i="156"/>
  <c r="D272" i="156"/>
  <c r="D185" i="156"/>
  <c r="G128" i="165"/>
  <c r="H128" i="165"/>
  <c r="D129" i="165"/>
  <c r="E129" i="165"/>
  <c r="F130" i="143"/>
  <c r="B130" i="143"/>
  <c r="G130" i="143" l="1"/>
  <c r="H130" i="143"/>
  <c r="I130" i="143" s="1"/>
  <c r="D131" i="143"/>
  <c r="B129" i="165"/>
  <c r="F129" i="165"/>
  <c r="I128" i="165"/>
  <c r="B185" i="156"/>
  <c r="B187" i="156" s="1"/>
  <c r="E189" i="156" s="1"/>
  <c r="C43" i="129"/>
  <c r="S27" i="129" s="1"/>
  <c r="B180" i="86"/>
  <c r="C43" i="143"/>
  <c r="Q26" i="143" s="1"/>
  <c r="E32" i="86"/>
  <c r="B131" i="143" l="1"/>
  <c r="C42" i="143"/>
  <c r="Q25" i="143" s="1"/>
  <c r="B182" i="86"/>
  <c r="C42" i="129"/>
  <c r="S26" i="129" s="1"/>
  <c r="E173" i="86"/>
  <c r="D130" i="165"/>
  <c r="G129" i="165"/>
  <c r="E130" i="165"/>
  <c r="H129" i="165"/>
  <c r="I129" i="165" s="1"/>
  <c r="E131" i="143"/>
  <c r="F131" i="143" s="1"/>
  <c r="C44" i="165"/>
  <c r="Q27" i="165" s="1"/>
  <c r="C44" i="166"/>
  <c r="S28" i="166" s="1"/>
  <c r="B37" i="170"/>
  <c r="B189" i="156"/>
  <c r="G131" i="143" l="1"/>
  <c r="D132" i="143"/>
  <c r="H131" i="143"/>
  <c r="I131" i="143" s="1"/>
  <c r="E132" i="143"/>
  <c r="B184" i="86"/>
  <c r="D272" i="86"/>
  <c r="D185" i="86"/>
  <c r="B202" i="156"/>
  <c r="E11" i="156"/>
  <c r="C41" i="166"/>
  <c r="S25" i="166" s="1"/>
  <c r="C41" i="165"/>
  <c r="Q24" i="165" s="1"/>
  <c r="F130" i="165"/>
  <c r="B130" i="165"/>
  <c r="G130" i="165" l="1"/>
  <c r="H130" i="165"/>
  <c r="I130" i="165" s="1"/>
  <c r="D131" i="165"/>
  <c r="B203" i="156"/>
  <c r="B204" i="156" s="1"/>
  <c r="B205" i="156" s="1"/>
  <c r="F132" i="143"/>
  <c r="B132" i="143"/>
  <c r="B185" i="86"/>
  <c r="B187" i="86" s="1"/>
  <c r="B131" i="165" l="1"/>
  <c r="G132" i="143"/>
  <c r="E133" i="143"/>
  <c r="H132" i="143"/>
  <c r="I132" i="143" s="1"/>
  <c r="D133" i="143"/>
  <c r="E207" i="156"/>
  <c r="B207" i="156"/>
  <c r="B209" i="156" s="1"/>
  <c r="B210" i="156" s="1"/>
  <c r="E55" i="156"/>
  <c r="E131" i="165"/>
  <c r="F131" i="165" s="1"/>
  <c r="B189" i="86"/>
  <c r="C44" i="129"/>
  <c r="S28" i="129" s="1"/>
  <c r="C44" i="143"/>
  <c r="Q27" i="143" s="1"/>
  <c r="B37" i="94"/>
  <c r="E189" i="86"/>
  <c r="E205" i="156"/>
  <c r="D132" i="165" l="1"/>
  <c r="G131" i="165"/>
  <c r="H131" i="165"/>
  <c r="I131" i="165" s="1"/>
  <c r="E132" i="165"/>
  <c r="B211" i="156"/>
  <c r="B212" i="156" s="1"/>
  <c r="B213" i="156" s="1"/>
  <c r="B214" i="156" s="1"/>
  <c r="B215" i="156" s="1"/>
  <c r="B217" i="156" s="1"/>
  <c r="B220" i="156" s="1"/>
  <c r="B221" i="156" s="1"/>
  <c r="E215" i="156"/>
  <c r="E11" i="86"/>
  <c r="C41" i="129"/>
  <c r="S25" i="129" s="1"/>
  <c r="B202" i="86"/>
  <c r="C41" i="143"/>
  <c r="Q24" i="143" s="1"/>
  <c r="F133" i="143"/>
  <c r="B133" i="143"/>
  <c r="D134" i="143" l="1"/>
  <c r="G133" i="143"/>
  <c r="H133" i="143"/>
  <c r="E134" i="143"/>
  <c r="B203" i="86"/>
  <c r="B204" i="86" s="1"/>
  <c r="B205" i="86" s="1"/>
  <c r="B222" i="156"/>
  <c r="B223" i="156" s="1"/>
  <c r="B224" i="156" s="1"/>
  <c r="F132" i="165"/>
  <c r="B132" i="165"/>
  <c r="B225" i="156" l="1"/>
  <c r="B226" i="156" s="1"/>
  <c r="B227" i="156" s="1"/>
  <c r="B228" i="156" s="1"/>
  <c r="E228" i="156"/>
  <c r="I133" i="143"/>
  <c r="E207" i="86"/>
  <c r="E55" i="86"/>
  <c r="B207" i="86"/>
  <c r="B209" i="86" s="1"/>
  <c r="B210" i="86" s="1"/>
  <c r="D133" i="165"/>
  <c r="E133" i="165"/>
  <c r="H132" i="165"/>
  <c r="G132" i="165"/>
  <c r="E205" i="86"/>
  <c r="F134" i="143"/>
  <c r="B134" i="143"/>
  <c r="H134" i="143" l="1"/>
  <c r="D135" i="143"/>
  <c r="E135" i="143"/>
  <c r="G134" i="143"/>
  <c r="B133" i="165"/>
  <c r="F133" i="165"/>
  <c r="B211" i="86"/>
  <c r="B212" i="86" s="1"/>
  <c r="B213" i="86" s="1"/>
  <c r="B214" i="86" s="1"/>
  <c r="B215" i="86" s="1"/>
  <c r="B217" i="86" s="1"/>
  <c r="B220" i="86" s="1"/>
  <c r="B221" i="86" s="1"/>
  <c r="E215" i="86"/>
  <c r="I132" i="165"/>
  <c r="D233" i="156"/>
  <c r="B230" i="156"/>
  <c r="B231" i="156" s="1"/>
  <c r="B222" i="86" l="1"/>
  <c r="B223" i="86" s="1"/>
  <c r="B224" i="86" s="1"/>
  <c r="H133" i="165"/>
  <c r="E134" i="165"/>
  <c r="G133" i="165"/>
  <c r="D134" i="165"/>
  <c r="B135" i="143"/>
  <c r="F135" i="143"/>
  <c r="B232" i="156"/>
  <c r="I134" i="143"/>
  <c r="D136" i="143" l="1"/>
  <c r="G135" i="143"/>
  <c r="E136" i="143"/>
  <c r="H135" i="143"/>
  <c r="I135" i="143" s="1"/>
  <c r="D225" i="156"/>
  <c r="B233" i="156"/>
  <c r="I133" i="165"/>
  <c r="D310" i="156"/>
  <c r="B134" i="165"/>
  <c r="F134" i="165"/>
  <c r="B225" i="86"/>
  <c r="B226" i="86" s="1"/>
  <c r="B227" i="86" s="1"/>
  <c r="B228" i="86" s="1"/>
  <c r="B230" i="86" l="1"/>
  <c r="B231" i="86" s="1"/>
  <c r="D233" i="86"/>
  <c r="D135" i="165"/>
  <c r="E135" i="165"/>
  <c r="G134" i="165"/>
  <c r="H134" i="165"/>
  <c r="I134" i="165" s="1"/>
  <c r="C10" i="165"/>
  <c r="Q12" i="165" s="1"/>
  <c r="B234" i="156"/>
  <c r="C10" i="166"/>
  <c r="S13" i="166" s="1"/>
  <c r="C13" i="165"/>
  <c r="D234" i="156"/>
  <c r="C13" i="166"/>
  <c r="E228" i="86"/>
  <c r="B136" i="143"/>
  <c r="F136" i="143"/>
  <c r="G136" i="143" l="1"/>
  <c r="D137" i="143"/>
  <c r="E137" i="143"/>
  <c r="H136" i="143"/>
  <c r="I136" i="143" s="1"/>
  <c r="B46" i="172"/>
  <c r="E180" i="156"/>
  <c r="D166" i="156"/>
  <c r="B135" i="165"/>
  <c r="F135" i="165"/>
  <c r="B232" i="86"/>
  <c r="D310" i="86"/>
  <c r="F137" i="143" l="1"/>
  <c r="B137" i="143"/>
  <c r="D225" i="86"/>
  <c r="B233" i="86"/>
  <c r="E136" i="165"/>
  <c r="D136" i="165"/>
  <c r="H135" i="165"/>
  <c r="I135" i="165" s="1"/>
  <c r="G135" i="165"/>
  <c r="B234" i="86" l="1"/>
  <c r="C10" i="129"/>
  <c r="S13" i="129" s="1"/>
  <c r="C10" i="143"/>
  <c r="Q12" i="143" s="1"/>
  <c r="C13" i="143"/>
  <c r="D234" i="86"/>
  <c r="C13" i="129"/>
  <c r="B136" i="165"/>
  <c r="F136" i="165"/>
  <c r="D138" i="143"/>
  <c r="E138" i="143"/>
  <c r="G137" i="143"/>
  <c r="H137" i="143"/>
  <c r="I137" i="143" s="1"/>
  <c r="D137" i="165" l="1"/>
  <c r="H136" i="165"/>
  <c r="G136" i="165"/>
  <c r="E137" i="165"/>
  <c r="F138" i="143"/>
  <c r="B138" i="143"/>
  <c r="B46" i="95"/>
  <c r="E180" i="86"/>
  <c r="D166" i="86"/>
  <c r="I136" i="165" l="1"/>
  <c r="E139" i="143"/>
  <c r="H138" i="143"/>
  <c r="G138" i="143"/>
  <c r="D139" i="143"/>
  <c r="F137" i="165"/>
  <c r="B137" i="165"/>
  <c r="I138" i="143" l="1"/>
  <c r="D138" i="165"/>
  <c r="E138" i="165"/>
  <c r="H137" i="165"/>
  <c r="I137" i="165" s="1"/>
  <c r="G137" i="165"/>
  <c r="B139" i="143"/>
  <c r="F139" i="143"/>
  <c r="D140" i="143" l="1"/>
  <c r="E140" i="143"/>
  <c r="H139" i="143"/>
  <c r="G139" i="143"/>
  <c r="F138" i="165"/>
  <c r="B138" i="165"/>
  <c r="I139" i="143" l="1"/>
  <c r="G138" i="165"/>
  <c r="D139" i="165"/>
  <c r="H138" i="165"/>
  <c r="I138" i="165" s="1"/>
  <c r="B140" i="143"/>
  <c r="F140" i="143"/>
  <c r="B139" i="165" l="1"/>
  <c r="H140" i="143"/>
  <c r="I140" i="143" s="1"/>
  <c r="D141" i="143"/>
  <c r="G140" i="143"/>
  <c r="E139" i="165"/>
  <c r="F139" i="165" s="1"/>
  <c r="H139" i="165" l="1"/>
  <c r="G139" i="165"/>
  <c r="D140" i="165"/>
  <c r="B141" i="143"/>
  <c r="E141" i="143"/>
  <c r="F141" i="143" s="1"/>
  <c r="G141" i="143" l="1"/>
  <c r="D142" i="143"/>
  <c r="H141" i="143"/>
  <c r="I141" i="143" s="1"/>
  <c r="E142" i="143"/>
  <c r="B140" i="165"/>
  <c r="E140" i="165"/>
  <c r="F140" i="165" s="1"/>
  <c r="I139" i="165"/>
  <c r="H140" i="165" l="1"/>
  <c r="D141" i="165"/>
  <c r="G140" i="165"/>
  <c r="E141" i="165"/>
  <c r="F142" i="143"/>
  <c r="B142" i="143"/>
  <c r="F141" i="165" l="1"/>
  <c r="B141" i="165"/>
  <c r="H142" i="143"/>
  <c r="I142" i="143" s="1"/>
  <c r="D143" i="143"/>
  <c r="G142" i="143"/>
  <c r="I140" i="165"/>
  <c r="F143" i="143" l="1"/>
  <c r="B143" i="143"/>
  <c r="E143" i="143"/>
  <c r="G141" i="165"/>
  <c r="E142" i="165"/>
  <c r="D142" i="165"/>
  <c r="H141" i="165"/>
  <c r="I141" i="165" l="1"/>
  <c r="F142" i="165"/>
  <c r="B142" i="165"/>
  <c r="H143" i="143"/>
  <c r="I143" i="143" s="1"/>
  <c r="D144" i="143"/>
  <c r="G143" i="143"/>
  <c r="E144" i="143"/>
  <c r="D143" i="165" l="1"/>
  <c r="H142" i="165"/>
  <c r="G142" i="165"/>
  <c r="E143" i="165"/>
  <c r="F144" i="143"/>
  <c r="B144" i="143"/>
  <c r="I142" i="165" l="1"/>
  <c r="H144" i="143"/>
  <c r="D145" i="143"/>
  <c r="G144" i="143"/>
  <c r="F143" i="165"/>
  <c r="B143" i="165"/>
  <c r="B145" i="143" l="1"/>
  <c r="E145" i="143"/>
  <c r="F145" i="143" s="1"/>
  <c r="E144" i="165"/>
  <c r="G143" i="165"/>
  <c r="D144" i="165"/>
  <c r="H143" i="165"/>
  <c r="I143" i="165" s="1"/>
  <c r="I144" i="143"/>
  <c r="G145" i="143" l="1"/>
  <c r="D146" i="143"/>
  <c r="E146" i="143"/>
  <c r="H145" i="143"/>
  <c r="I145" i="143" s="1"/>
  <c r="F144" i="165"/>
  <c r="B144" i="165"/>
  <c r="B146" i="143" l="1"/>
  <c r="F146" i="143"/>
  <c r="D145" i="165"/>
  <c r="G144" i="165"/>
  <c r="H144" i="165"/>
  <c r="B145" i="165" l="1"/>
  <c r="I144" i="165"/>
  <c r="D147" i="143"/>
  <c r="E147" i="143" s="1"/>
  <c r="H146" i="143"/>
  <c r="G146" i="143"/>
  <c r="E145" i="165"/>
  <c r="F145" i="165" s="1"/>
  <c r="D146" i="165" l="1"/>
  <c r="E146" i="165" s="1"/>
  <c r="G145" i="165"/>
  <c r="H145" i="165"/>
  <c r="I145" i="165" s="1"/>
  <c r="B147" i="143"/>
  <c r="F147" i="143"/>
  <c r="I146" i="143"/>
  <c r="H147" i="143" l="1"/>
  <c r="I147" i="143" s="1"/>
  <c r="D148" i="143"/>
  <c r="G147" i="143"/>
  <c r="E148" i="143"/>
  <c r="B146" i="165"/>
  <c r="F146" i="165"/>
  <c r="G146" i="165" l="1"/>
  <c r="H146" i="165"/>
  <c r="I146" i="165" s="1"/>
  <c r="D147" i="165"/>
  <c r="E147" i="165"/>
  <c r="F148" i="143"/>
  <c r="B148" i="143"/>
  <c r="F147" i="165" l="1"/>
  <c r="B147" i="165"/>
  <c r="D149" i="143"/>
  <c r="H148" i="143"/>
  <c r="G148" i="143"/>
  <c r="B149" i="143" l="1"/>
  <c r="E149" i="143"/>
  <c r="F149" i="143" s="1"/>
  <c r="I148" i="143"/>
  <c r="H147" i="165"/>
  <c r="I147" i="165" s="1"/>
  <c r="G147" i="165"/>
  <c r="D148" i="165"/>
  <c r="G149" i="143" l="1"/>
  <c r="H149" i="143"/>
  <c r="I149" i="143" s="1"/>
  <c r="D150" i="143"/>
  <c r="B148" i="165"/>
  <c r="E148" i="165"/>
  <c r="F148" i="165" s="1"/>
  <c r="E149" i="165" l="1"/>
  <c r="D149" i="165"/>
  <c r="H148" i="165"/>
  <c r="G148" i="165"/>
  <c r="B150" i="143"/>
  <c r="E150" i="143"/>
  <c r="F150" i="143" s="1"/>
  <c r="H150" i="143" l="1"/>
  <c r="I150" i="143" s="1"/>
  <c r="D151" i="143"/>
  <c r="G150" i="143"/>
  <c r="E151" i="143"/>
  <c r="I148" i="165"/>
  <c r="F149" i="165"/>
  <c r="B149" i="165"/>
  <c r="G149" i="165" l="1"/>
  <c r="D150" i="165"/>
  <c r="E150" i="165"/>
  <c r="H149" i="165"/>
  <c r="I149" i="165" s="1"/>
  <c r="B151" i="143"/>
  <c r="F151" i="143"/>
  <c r="H151" i="143" l="1"/>
  <c r="G151" i="143"/>
  <c r="D152" i="143"/>
  <c r="E152" i="143" s="1"/>
  <c r="B150" i="165"/>
  <c r="F150" i="165"/>
  <c r="D151" i="165" l="1"/>
  <c r="E151" i="165" s="1"/>
  <c r="H150" i="165"/>
  <c r="G150" i="165"/>
  <c r="B152" i="143"/>
  <c r="F152" i="143"/>
  <c r="I151" i="143"/>
  <c r="H152" i="143" l="1"/>
  <c r="I152" i="143" s="1"/>
  <c r="G152" i="143"/>
  <c r="D153" i="143"/>
  <c r="I150" i="165"/>
  <c r="B151" i="165"/>
  <c r="F151" i="165"/>
  <c r="F153" i="143" l="1"/>
  <c r="B153" i="143"/>
  <c r="H151" i="165"/>
  <c r="D152" i="165"/>
  <c r="E152" i="165"/>
  <c r="G151" i="165"/>
  <c r="E153" i="143"/>
  <c r="B152" i="165" l="1"/>
  <c r="F152" i="165"/>
  <c r="H153" i="143"/>
  <c r="G153" i="143"/>
  <c r="E154" i="143"/>
  <c r="D154" i="143"/>
  <c r="I151" i="165"/>
  <c r="I153" i="143" l="1"/>
  <c r="B154" i="143"/>
  <c r="F154" i="143"/>
  <c r="D153" i="165"/>
  <c r="G152" i="165"/>
  <c r="H152" i="165"/>
  <c r="I152" i="165" s="1"/>
  <c r="B153" i="165" l="1"/>
  <c r="D155" i="143"/>
  <c r="G154" i="143"/>
  <c r="E155" i="143"/>
  <c r="H154" i="143"/>
  <c r="E153" i="165"/>
  <c r="F153" i="165" s="1"/>
  <c r="D154" i="165" l="1"/>
  <c r="E154" i="165"/>
  <c r="H153" i="165"/>
  <c r="G153" i="165"/>
  <c r="F155" i="143"/>
  <c r="B155" i="143"/>
  <c r="I154" i="143"/>
  <c r="I153" i="165" l="1"/>
  <c r="D156" i="143"/>
  <c r="G155" i="143"/>
  <c r="E156" i="143"/>
  <c r="H155" i="143"/>
  <c r="I155" i="143" s="1"/>
  <c r="F154" i="165"/>
  <c r="B154" i="165"/>
  <c r="G154" i="165" l="1"/>
  <c r="D155" i="165"/>
  <c r="H154" i="165"/>
  <c r="I154" i="165" s="1"/>
  <c r="B156" i="143"/>
  <c r="F156" i="143"/>
  <c r="B155" i="165" l="1"/>
  <c r="D157" i="143"/>
  <c r="E157" i="143"/>
  <c r="G156" i="143"/>
  <c r="H156" i="143"/>
  <c r="E155" i="165"/>
  <c r="F155" i="165" s="1"/>
  <c r="G155" i="165" l="1"/>
  <c r="D156" i="165"/>
  <c r="E156" i="165" s="1"/>
  <c r="H155" i="165"/>
  <c r="I155" i="165" s="1"/>
  <c r="B157" i="143"/>
  <c r="F157" i="143"/>
  <c r="I156" i="143"/>
  <c r="B156" i="165" l="1"/>
  <c r="F156" i="165"/>
  <c r="D158" i="143"/>
  <c r="G157" i="143"/>
  <c r="E158" i="143"/>
  <c r="H157" i="143"/>
  <c r="F158" i="143" l="1"/>
  <c r="B158" i="143"/>
  <c r="I157" i="143"/>
  <c r="H156" i="165"/>
  <c r="I156" i="165" s="1"/>
  <c r="D157" i="165"/>
  <c r="G156" i="165"/>
  <c r="E157" i="165"/>
  <c r="F157" i="165" l="1"/>
  <c r="B157" i="165"/>
  <c r="H158" i="143"/>
  <c r="I158" i="143" s="1"/>
  <c r="D159" i="143"/>
  <c r="G158" i="143"/>
  <c r="B159" i="143" l="1"/>
  <c r="E159" i="143"/>
  <c r="F159" i="143" s="1"/>
  <c r="H157" i="165"/>
  <c r="G157" i="165"/>
  <c r="D158" i="165"/>
  <c r="E158" i="165"/>
  <c r="D160" i="143" l="1"/>
  <c r="H159" i="143"/>
  <c r="E160" i="143"/>
  <c r="G159" i="143"/>
  <c r="I157" i="165"/>
  <c r="B158" i="165"/>
  <c r="F158" i="165"/>
  <c r="G158" i="165" l="1"/>
  <c r="D159" i="165"/>
  <c r="E159" i="165"/>
  <c r="H158" i="165"/>
  <c r="I158" i="165" s="1"/>
  <c r="I159" i="143"/>
  <c r="F160" i="143"/>
  <c r="B160" i="143"/>
  <c r="G160" i="143" l="1"/>
  <c r="D161" i="143"/>
  <c r="H160" i="143"/>
  <c r="I160" i="143" s="1"/>
  <c r="E161" i="143"/>
  <c r="E162" i="143" s="1"/>
  <c r="B159" i="165"/>
  <c r="F159" i="165"/>
  <c r="G159" i="165" l="1"/>
  <c r="D160" i="165"/>
  <c r="H159" i="165"/>
  <c r="I159" i="165" s="1"/>
  <c r="E160" i="165"/>
  <c r="B161" i="143"/>
  <c r="F161" i="143"/>
  <c r="H161" i="143" l="1"/>
  <c r="G161" i="143"/>
  <c r="G162" i="143" s="1"/>
  <c r="B160" i="165"/>
  <c r="F160" i="165"/>
  <c r="H160" i="165" l="1"/>
  <c r="G160" i="165"/>
  <c r="D161" i="165"/>
  <c r="E161" i="165"/>
  <c r="E162" i="165" s="1"/>
  <c r="I161" i="143"/>
  <c r="I162" i="143" s="1"/>
  <c r="H162" i="143"/>
  <c r="F161" i="165" l="1"/>
  <c r="B161" i="165"/>
  <c r="I160" i="165"/>
  <c r="H161" i="165" l="1"/>
  <c r="G161" i="165"/>
  <c r="G162" i="165" s="1"/>
  <c r="I161" i="165" l="1"/>
  <c r="I162" i="165" s="1"/>
  <c r="H162" i="165"/>
</calcChain>
</file>

<file path=xl/comments1.xml><?xml version="1.0" encoding="utf-8"?>
<comments xmlns="http://schemas.openxmlformats.org/spreadsheetml/2006/main">
  <authors>
    <author>R.Pennybaker</author>
    <author>AEP</author>
    <author>rlp</author>
  </authors>
  <commentList>
    <comment ref="C16" authorId="0" shapeId="0">
      <text>
        <r>
          <rPr>
            <b/>
            <sz val="8"/>
            <color indexed="81"/>
            <rFont val="Tahoma"/>
            <family val="2"/>
          </rPr>
          <t>R.Pennybaker:</t>
        </r>
        <r>
          <rPr>
            <sz val="8"/>
            <color indexed="81"/>
            <rFont val="Tahoma"/>
            <family val="2"/>
          </rPr>
          <t xml:space="preserve">
Project Descriptions are in WS-F cell D7.</t>
        </r>
      </text>
    </comment>
    <comment ref="D16" authorId="0" shapeId="0">
      <text>
        <r>
          <rPr>
            <b/>
            <sz val="8"/>
            <color indexed="81"/>
            <rFont val="Tahoma"/>
            <family val="2"/>
          </rPr>
          <t>R.Pennybaker:</t>
        </r>
        <r>
          <rPr>
            <sz val="8"/>
            <color indexed="81"/>
            <rFont val="Tahoma"/>
            <family val="2"/>
          </rPr>
          <t xml:space="preserve">
Year In Service is in WS-F cell D11.</t>
        </r>
      </text>
    </comment>
    <comment ref="E16" authorId="0" shapeId="0">
      <text>
        <r>
          <rPr>
            <b/>
            <sz val="8"/>
            <color indexed="81"/>
            <rFont val="Tahoma"/>
            <family val="2"/>
          </rPr>
          <t>R.Pennybaker:</t>
        </r>
        <r>
          <rPr>
            <sz val="8"/>
            <color indexed="81"/>
            <rFont val="Tahoma"/>
            <family val="2"/>
          </rPr>
          <t xml:space="preserve">
Projected Base ARR is in cell WS-F cell N5.</t>
        </r>
      </text>
    </comment>
    <comment ref="F16" authorId="0" shapeId="0">
      <text>
        <r>
          <rPr>
            <b/>
            <sz val="8"/>
            <color indexed="81"/>
            <rFont val="Tahoma"/>
            <family val="2"/>
          </rPr>
          <t>R.Pennybaker:</t>
        </r>
        <r>
          <rPr>
            <sz val="8"/>
            <color indexed="81"/>
            <rFont val="Tahoma"/>
            <family val="2"/>
          </rPr>
          <t xml:space="preserve">
Projected Incentive ARR is in WS-F cell N7.</t>
        </r>
      </text>
    </comment>
    <comment ref="I16" authorId="1" shapeId="0">
      <text>
        <r>
          <rPr>
            <b/>
            <sz val="8"/>
            <color indexed="81"/>
            <rFont val="Tahoma"/>
            <family val="2"/>
          </rPr>
          <t>AEP:</t>
        </r>
        <r>
          <rPr>
            <sz val="8"/>
            <color indexed="81"/>
            <rFont val="Tahoma"/>
            <family val="2"/>
          </rPr>
          <t xml:space="preserve">
"TRUE-UP Adjustment (i.e., Forecast Error) is from WS-G in cell M89.</t>
        </r>
      </text>
    </comment>
    <comment ref="J16" authorId="1" shapeId="0">
      <text>
        <r>
          <rPr>
            <b/>
            <sz val="8"/>
            <color indexed="81"/>
            <rFont val="Tahoma"/>
            <family val="2"/>
          </rPr>
          <t>AEP:</t>
        </r>
        <r>
          <rPr>
            <sz val="8"/>
            <color indexed="81"/>
            <rFont val="Tahoma"/>
            <family val="2"/>
          </rPr>
          <t xml:space="preserve">
"Manually input from previous year's update "</t>
        </r>
        <r>
          <rPr>
            <i/>
            <sz val="8"/>
            <color indexed="81"/>
            <rFont val="Tahoma"/>
            <family val="2"/>
          </rPr>
          <t>Schedule 11 Rates</t>
        </r>
        <r>
          <rPr>
            <sz val="8"/>
            <color indexed="81"/>
            <rFont val="Tahoma"/>
            <family val="2"/>
          </rPr>
          <t>" by project, column R values.</t>
        </r>
      </text>
    </comment>
    <comment ref="K16" authorId="0" shapeId="0">
      <text>
        <r>
          <rPr>
            <b/>
            <sz val="8"/>
            <color indexed="81"/>
            <rFont val="Tahoma"/>
            <family val="2"/>
          </rPr>
          <t>R.Pennybaker:</t>
        </r>
        <r>
          <rPr>
            <sz val="8"/>
            <color indexed="81"/>
            <rFont val="Tahoma"/>
            <family val="2"/>
          </rPr>
          <t xml:space="preserve">
These values reflect SPP remittance to AEP of Schedule 11 revenues for prior Calendar Year T-service transactions.</t>
        </r>
      </text>
    </comment>
    <comment ref="L16" authorId="0" shapeId="0">
      <text>
        <r>
          <rPr>
            <b/>
            <sz val="8"/>
            <color indexed="81"/>
            <rFont val="Tahoma"/>
            <family val="2"/>
          </rPr>
          <t>R.Pennybaker:</t>
        </r>
        <r>
          <rPr>
            <sz val="8"/>
            <color indexed="81"/>
            <rFont val="Tahoma"/>
            <family val="2"/>
          </rPr>
          <t xml:space="preserve">
This can also be referred to as the Billing Error.</t>
        </r>
      </text>
    </comment>
    <comment ref="N16" authorId="1" shapeId="0">
      <text>
        <r>
          <rPr>
            <b/>
            <sz val="8"/>
            <color indexed="81"/>
            <rFont val="Tahoma"/>
            <family val="2"/>
          </rPr>
          <t>AEP:</t>
        </r>
        <r>
          <rPr>
            <sz val="8"/>
            <color indexed="81"/>
            <rFont val="Tahoma"/>
            <family val="2"/>
          </rPr>
          <t xml:space="preserve">
This is "Prior Year True-Up (WS-G)"; and "Incentive Amounts" O88</t>
        </r>
      </text>
    </comment>
    <comment ref="O16" authorId="1" shapeId="0">
      <text>
        <r>
          <rPr>
            <b/>
            <sz val="8"/>
            <color indexed="81"/>
            <rFont val="Tahoma"/>
            <family val="2"/>
          </rPr>
          <t>AEP:</t>
        </r>
        <r>
          <rPr>
            <sz val="8"/>
            <color indexed="81"/>
            <rFont val="Tahoma"/>
            <family val="2"/>
          </rPr>
          <t xml:space="preserve">
Prior Year Projected (WS-F) and Incentive Amounts [cell O87]</t>
        </r>
      </text>
    </comment>
    <comment ref="C28" authorId="1" shapeId="0">
      <text>
        <r>
          <rPr>
            <b/>
            <sz val="9"/>
            <color indexed="81"/>
            <rFont val="Tahoma"/>
            <family val="2"/>
          </rPr>
          <t xml:space="preserve">AEP:
</t>
        </r>
        <r>
          <rPr>
            <sz val="9"/>
            <color indexed="81"/>
            <rFont val="Tahoma"/>
            <family val="2"/>
          </rPr>
          <t xml:space="preserve">The SPP NTC only allows 94% of this project to be Base Plan.  Therefore, from 2014 Update onward, the indicated ATTR is based upon 94% of actual project investment.
In previous annual Updates, AEP provided 100% investment based ATRR thus SPP only collected 94% of the indicated ATRRs.  
Repeating:  from 2014 Update onward, no scaling is required by SPP as the indicated ATRR is already refelcting the 94% scaler per the original NTC.
</t>
        </r>
      </text>
    </comment>
    <comment ref="K47" authorId="2" shapeId="0">
      <text>
        <r>
          <rPr>
            <b/>
            <sz val="8"/>
            <color indexed="81"/>
            <rFont val="Tahoma"/>
            <family val="2"/>
          </rPr>
          <t>rlp:</t>
        </r>
        <r>
          <rPr>
            <sz val="8"/>
            <color indexed="81"/>
            <rFont val="Tahoma"/>
            <family val="2"/>
          </rPr>
          <t xml:space="preserve">
This amount was booked by AEP during CY 2014.  Represents Sch. 11 revenues remitted from SPP&gt;</t>
        </r>
      </text>
    </comment>
  </commentList>
</comments>
</file>

<file path=xl/comments2.xml><?xml version="1.0" encoding="utf-8"?>
<comments xmlns="http://schemas.openxmlformats.org/spreadsheetml/2006/main">
  <authors>
    <author>R.Pennybaker</author>
    <author>AEP</author>
    <author>Jim Martin</author>
  </authors>
  <commentList>
    <comment ref="C16" authorId="0" shapeId="0">
      <text>
        <r>
          <rPr>
            <b/>
            <sz val="8"/>
            <color indexed="81"/>
            <rFont val="Tahoma"/>
            <family val="2"/>
          </rPr>
          <t>R.Pennybaker:</t>
        </r>
        <r>
          <rPr>
            <sz val="8"/>
            <color indexed="81"/>
            <rFont val="Tahoma"/>
            <family val="2"/>
          </rPr>
          <t xml:space="preserve">
Project Descriptions are in WS-F cell D7.</t>
        </r>
      </text>
    </comment>
    <comment ref="D16" authorId="0" shapeId="0">
      <text>
        <r>
          <rPr>
            <b/>
            <sz val="8"/>
            <color indexed="81"/>
            <rFont val="Tahoma"/>
            <family val="2"/>
          </rPr>
          <t>R.Pennybaker:</t>
        </r>
        <r>
          <rPr>
            <sz val="8"/>
            <color indexed="81"/>
            <rFont val="Tahoma"/>
            <family val="2"/>
          </rPr>
          <t xml:space="preserve">
Year In Service is in WS-F cell D11.</t>
        </r>
      </text>
    </comment>
    <comment ref="E16" authorId="0" shapeId="0">
      <text>
        <r>
          <rPr>
            <b/>
            <sz val="8"/>
            <color indexed="81"/>
            <rFont val="Tahoma"/>
            <family val="2"/>
          </rPr>
          <t>R.Pennybaker:</t>
        </r>
        <r>
          <rPr>
            <sz val="8"/>
            <color indexed="81"/>
            <rFont val="Tahoma"/>
            <family val="2"/>
          </rPr>
          <t xml:space="preserve">
Projected Base ARR is in cell WS-F cell N5.</t>
        </r>
      </text>
    </comment>
    <comment ref="F16" authorId="0" shapeId="0">
      <text>
        <r>
          <rPr>
            <b/>
            <sz val="8"/>
            <color indexed="81"/>
            <rFont val="Tahoma"/>
            <family val="2"/>
          </rPr>
          <t>R.Pennybaker:</t>
        </r>
        <r>
          <rPr>
            <sz val="8"/>
            <color indexed="81"/>
            <rFont val="Tahoma"/>
            <family val="2"/>
          </rPr>
          <t xml:space="preserve">
Projected Incentive ARR is in WS-F cell N7.</t>
        </r>
      </text>
    </comment>
    <comment ref="I16" authorId="1" shapeId="0">
      <text>
        <r>
          <rPr>
            <b/>
            <sz val="8"/>
            <color indexed="81"/>
            <rFont val="Tahoma"/>
            <family val="2"/>
          </rPr>
          <t>AEP:</t>
        </r>
        <r>
          <rPr>
            <sz val="8"/>
            <color indexed="81"/>
            <rFont val="Tahoma"/>
            <family val="2"/>
          </rPr>
          <t xml:space="preserve">
"TRUE-UP Adjustment (i.e., Forecast Error) is from WS-G in cell M89.</t>
        </r>
      </text>
    </comment>
    <comment ref="J16" authorId="1" shapeId="0">
      <text>
        <r>
          <rPr>
            <b/>
            <sz val="8"/>
            <color indexed="81"/>
            <rFont val="Tahoma"/>
            <family val="2"/>
          </rPr>
          <t>AEP:</t>
        </r>
        <r>
          <rPr>
            <sz val="8"/>
            <color indexed="81"/>
            <rFont val="Tahoma"/>
            <family val="2"/>
          </rPr>
          <t xml:space="preserve">
"Manually input from previous year's update "</t>
        </r>
        <r>
          <rPr>
            <i/>
            <sz val="8"/>
            <color indexed="81"/>
            <rFont val="Tahoma"/>
            <family val="2"/>
          </rPr>
          <t>Schedule 11 Rates</t>
        </r>
        <r>
          <rPr>
            <sz val="8"/>
            <color indexed="81"/>
            <rFont val="Tahoma"/>
            <family val="2"/>
          </rPr>
          <t>" by project, column R values.</t>
        </r>
      </text>
    </comment>
    <comment ref="K16" authorId="0" shapeId="0">
      <text>
        <r>
          <rPr>
            <b/>
            <sz val="8"/>
            <color indexed="81"/>
            <rFont val="Tahoma"/>
            <family val="2"/>
          </rPr>
          <t>R.Pennybaker:</t>
        </r>
        <r>
          <rPr>
            <sz val="8"/>
            <color indexed="81"/>
            <rFont val="Tahoma"/>
            <family val="2"/>
          </rPr>
          <t xml:space="preserve">
These values reflect SPP remittance to AEP of Schedule 11 revenues for prior Calendar Year T-service transactions.</t>
        </r>
      </text>
    </comment>
    <comment ref="L16" authorId="0" shapeId="0">
      <text>
        <r>
          <rPr>
            <b/>
            <sz val="8"/>
            <color indexed="81"/>
            <rFont val="Tahoma"/>
            <family val="2"/>
          </rPr>
          <t>R.Pennybaker:</t>
        </r>
        <r>
          <rPr>
            <sz val="8"/>
            <color indexed="81"/>
            <rFont val="Tahoma"/>
            <family val="2"/>
          </rPr>
          <t xml:space="preserve">
This can also be referred to as the Billing Error.</t>
        </r>
      </text>
    </comment>
    <comment ref="N16" authorId="1" shapeId="0">
      <text>
        <r>
          <rPr>
            <b/>
            <sz val="8"/>
            <color indexed="81"/>
            <rFont val="Tahoma"/>
            <family val="2"/>
          </rPr>
          <t>AEP:</t>
        </r>
        <r>
          <rPr>
            <sz val="8"/>
            <color indexed="81"/>
            <rFont val="Tahoma"/>
            <family val="2"/>
          </rPr>
          <t xml:space="preserve">
This is "Prior Year True-Up (WS-G)"; and "Incentive Amounts" O88</t>
        </r>
      </text>
    </comment>
    <comment ref="O16" authorId="1" shapeId="0">
      <text>
        <r>
          <rPr>
            <b/>
            <sz val="8"/>
            <color indexed="81"/>
            <rFont val="Tahoma"/>
            <family val="2"/>
          </rPr>
          <t>AEP:</t>
        </r>
        <r>
          <rPr>
            <sz val="8"/>
            <color indexed="81"/>
            <rFont val="Tahoma"/>
            <family val="2"/>
          </rPr>
          <t xml:space="preserve">
Prior Year Projected (WS-F) and Incentive Amounts [cell O87]</t>
        </r>
      </text>
    </comment>
    <comment ref="I18" authorId="2" shapeId="0">
      <text>
        <r>
          <rPr>
            <b/>
            <sz val="9"/>
            <color indexed="81"/>
            <rFont val="Tahoma"/>
            <family val="2"/>
          </rPr>
          <t>Jim Martin:</t>
        </r>
        <r>
          <rPr>
            <sz val="9"/>
            <color indexed="81"/>
            <rFont val="Tahoma"/>
            <family val="2"/>
          </rPr>
          <t xml:space="preserve">
change logic back to remove /2 in future years 10-18-17</t>
        </r>
      </text>
    </comment>
  </commentList>
</comments>
</file>

<file path=xl/comments3.xml><?xml version="1.0" encoding="utf-8"?>
<comments xmlns="http://schemas.openxmlformats.org/spreadsheetml/2006/main">
  <authors>
    <author>R.Pennybaker</author>
  </authors>
  <commentList>
    <comment ref="D53" authorId="0" shapeId="0">
      <text>
        <r>
          <rPr>
            <b/>
            <sz val="8"/>
            <color indexed="81"/>
            <rFont val="Tahoma"/>
            <family val="2"/>
          </rPr>
          <t>R.Pennybaker:</t>
        </r>
        <r>
          <rPr>
            <sz val="8"/>
            <color indexed="81"/>
            <rFont val="Tahoma"/>
            <family val="2"/>
          </rPr>
          <t xml:space="preserve">
GRDA and PSO enjoy a grandfathered load swap arrangement.  For purposes of Schedule 9, both PSO load on GRDA and GRDA load on PSO are included in the PSO OATT load responsibility (Jan-Nov).  Beginning in Dec 2015, loads are telemetered - AEP and GRDA agreed to report their own loads on other zone only for both Sch 9 &amp; 11 - (AEP will only report PSO load on GRDA.)  For schedule 11 purposes, the non Zone 1 load (aka PSO load on GRDA) used to be excluded from PSO - however AEP, GRDA &amp; SPP agreed that for the entire year and fwd that PSO would include PSO load on GRDA only for Sch 11 purposes (GRDA will include GRDA load on PSO for Sch 11).  Going forward Sch 9 and Sch 11 loads will be equal.  PSO will include PSO load on GRDA only. </t>
        </r>
      </text>
    </comment>
  </commentList>
</comments>
</file>

<file path=xl/comments4.xml><?xml version="1.0" encoding="utf-8"?>
<comments xmlns="http://schemas.openxmlformats.org/spreadsheetml/2006/main">
  <authors>
    <author>Jim Martin</author>
  </authors>
  <commentList>
    <comment ref="G169" authorId="0" shapeId="0">
      <text>
        <r>
          <rPr>
            <b/>
            <sz val="9"/>
            <color indexed="81"/>
            <rFont val="Tahoma"/>
            <family val="2"/>
          </rPr>
          <t>Jim Martin:</t>
        </r>
        <r>
          <rPr>
            <sz val="9"/>
            <color indexed="81"/>
            <rFont val="Tahoma"/>
            <family val="2"/>
          </rPr>
          <t xml:space="preserve">
tie this out to FF1, pg. 266.8F (refer to Note O)</t>
        </r>
      </text>
    </comment>
  </commentList>
</comments>
</file>

<file path=xl/comments5.xml><?xml version="1.0" encoding="utf-8"?>
<comments xmlns="http://schemas.openxmlformats.org/spreadsheetml/2006/main">
  <authors>
    <author>Jim Martin</author>
  </authors>
  <commentList>
    <comment ref="R47" authorId="0" shapeId="0">
      <text>
        <r>
          <rPr>
            <b/>
            <sz val="9"/>
            <color indexed="81"/>
            <rFont val="Tahoma"/>
            <family val="2"/>
          </rPr>
          <t>Jim Martin:</t>
        </r>
        <r>
          <rPr>
            <sz val="9"/>
            <color indexed="81"/>
            <rFont val="Tahoma"/>
            <family val="2"/>
          </rPr>
          <t xml:space="preserve">
in the 2018 projection this is the 2016 true up 10-18-17</t>
        </r>
      </text>
    </comment>
  </commentList>
</comments>
</file>

<file path=xl/comments6.xml><?xml version="1.0" encoding="utf-8"?>
<comments xmlns="http://schemas.openxmlformats.org/spreadsheetml/2006/main">
  <authors>
    <author>Jim Martin</author>
  </authors>
  <commentList>
    <comment ref="I41" authorId="0" shapeId="0">
      <text>
        <r>
          <rPr>
            <b/>
            <sz val="9"/>
            <color indexed="81"/>
            <rFont val="Tahoma"/>
            <family val="2"/>
          </rPr>
          <t>Jim Martin:</t>
        </r>
        <r>
          <rPr>
            <sz val="9"/>
            <color indexed="81"/>
            <rFont val="Tahoma"/>
            <family val="2"/>
          </rPr>
          <t xml:space="preserve">
per David Spring 5-1-17 law changed to assess tax on cost of goods sold instead of taxing on revenues. 22% of revenues approximates the right dollars of tax as paying the tax on cogs</t>
        </r>
      </text>
    </comment>
  </commentList>
</comments>
</file>

<file path=xl/comments7.xml><?xml version="1.0" encoding="utf-8"?>
<comments xmlns="http://schemas.openxmlformats.org/spreadsheetml/2006/main">
  <authors>
    <author>Jim Martin</author>
  </authors>
  <commentList>
    <comment ref="G169" authorId="0" shapeId="0">
      <text>
        <r>
          <rPr>
            <b/>
            <sz val="9"/>
            <color indexed="81"/>
            <rFont val="Tahoma"/>
            <family val="2"/>
          </rPr>
          <t>Jim Martin:</t>
        </r>
        <r>
          <rPr>
            <sz val="9"/>
            <color indexed="81"/>
            <rFont val="Tahoma"/>
            <family val="2"/>
          </rPr>
          <t xml:space="preserve">
tie this out to FF1, pg. 266.8F (refer to Note O)</t>
        </r>
      </text>
    </comment>
  </commentList>
</comments>
</file>

<file path=xl/comments8.xml><?xml version="1.0" encoding="utf-8"?>
<comments xmlns="http://schemas.openxmlformats.org/spreadsheetml/2006/main">
  <authors>
    <author>Jim Martin</author>
  </authors>
  <commentList>
    <comment ref="R47" authorId="0" shapeId="0">
      <text>
        <r>
          <rPr>
            <b/>
            <sz val="9"/>
            <color indexed="81"/>
            <rFont val="Tahoma"/>
            <family val="2"/>
          </rPr>
          <t>Jim Martin:</t>
        </r>
        <r>
          <rPr>
            <sz val="9"/>
            <color indexed="81"/>
            <rFont val="Tahoma"/>
            <family val="2"/>
          </rPr>
          <t xml:space="preserve">
in the 2018 projection tis is the 2016 true up 10-18-17</t>
        </r>
      </text>
    </comment>
  </commentList>
</comments>
</file>

<file path=xl/comments9.xml><?xml version="1.0" encoding="utf-8"?>
<comments xmlns="http://schemas.openxmlformats.org/spreadsheetml/2006/main">
  <authors>
    <author>Jim Martin</author>
    <author>rlp</author>
  </authors>
  <commentList>
    <comment ref="I41" authorId="0" shapeId="0">
      <text>
        <r>
          <rPr>
            <b/>
            <sz val="9"/>
            <color indexed="81"/>
            <rFont val="Tahoma"/>
            <family val="2"/>
          </rPr>
          <t>Jim Martin:</t>
        </r>
        <r>
          <rPr>
            <sz val="9"/>
            <color indexed="81"/>
            <rFont val="Tahoma"/>
            <family val="2"/>
          </rPr>
          <t xml:space="preserve">
per David Spring 5-1-17 law changed to assess tax on cost of goods sold instead of taxing on revenues. 22% of revenues approximates the right dollars of tax as paying the tax on cogs</t>
        </r>
      </text>
    </comment>
    <comment ref="E50" authorId="1" shapeId="0">
      <text>
        <r>
          <rPr>
            <b/>
            <sz val="8"/>
            <color indexed="81"/>
            <rFont val="Tahoma"/>
            <family val="2"/>
          </rPr>
          <t>mew:</t>
        </r>
        <r>
          <rPr>
            <sz val="8"/>
            <color indexed="81"/>
            <rFont val="Tahoma"/>
            <family val="2"/>
          </rPr>
          <t xml:space="preserve">
from SWEPCO LA retail FR update. TY 12/31/2015. From Earlyne Reynolds</t>
        </r>
      </text>
    </comment>
    <comment ref="E51" authorId="1" shapeId="0">
      <text>
        <r>
          <rPr>
            <b/>
            <sz val="8"/>
            <color indexed="81"/>
            <rFont val="Tahoma"/>
            <family val="2"/>
          </rPr>
          <t>mew:</t>
        </r>
        <r>
          <rPr>
            <sz val="8"/>
            <color indexed="81"/>
            <rFont val="Tahoma"/>
            <family val="2"/>
          </rPr>
          <t xml:space="preserve">
from SWEPCO LA retail FR update. TY 12/31/2015. From Earlyne Reynolds</t>
        </r>
      </text>
    </comment>
  </commentList>
</comments>
</file>

<file path=xl/sharedStrings.xml><?xml version="1.0" encoding="utf-8"?>
<sst xmlns="http://schemas.openxmlformats.org/spreadsheetml/2006/main" count="6156" uniqueCount="1633">
  <si>
    <t>"Gross Margin" for the Company.  The tax rate of one percent is assessed on the resulting amount.  The jurisdictional allocator is based on transmission demand allocators.</t>
  </si>
  <si>
    <t>Excluded Facilities Investment Amount</t>
  </si>
  <si>
    <r>
      <t xml:space="preserve">Transmission Plant Excluded from SPP Tariff </t>
    </r>
    <r>
      <rPr>
        <u/>
        <sz val="10"/>
        <rFont val="Arial"/>
        <family val="2"/>
      </rPr>
      <t>(see TCOS Note Q)</t>
    </r>
  </si>
  <si>
    <t>FF1, p. 227, Col. (c)</t>
  </si>
  <si>
    <t>FF1, p. 227, Col. (b)</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</si>
  <si>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</si>
  <si>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</si>
  <si>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</si>
  <si>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</si>
  <si>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</si>
  <si>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</si>
  <si>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</si>
  <si>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</si>
  <si>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</si>
  <si>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</si>
  <si>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</si>
  <si>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</si>
  <si>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</si>
  <si>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</si>
  <si>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Distribution Asset Retirement Obligation</t>
  </si>
  <si>
    <t>Total Property Investment Balance</t>
  </si>
  <si>
    <t>General Accumulated Depreciation</t>
  </si>
  <si>
    <t>Accumulated Depreciation &amp; Amortization Balances</t>
  </si>
  <si>
    <t>Intangible Accumulated Amortization</t>
  </si>
  <si>
    <t>Total Accumulated Depreciation or Amortization</t>
  </si>
  <si>
    <t>Generation Step-Up Units</t>
  </si>
  <si>
    <t>GSU Net Balance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</si>
  <si>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</si>
  <si>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</si>
  <si>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</si>
  <si>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</si>
  <si>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</si>
  <si>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</si>
  <si>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</si>
  <si>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</si>
  <si>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</si>
  <si>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</si>
  <si>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</si>
  <si>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</si>
  <si>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</si>
  <si>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</si>
  <si>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</si>
  <si>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</si>
  <si>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</si>
  <si>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</si>
  <si>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</si>
  <si>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</si>
  <si>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</si>
  <si>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</si>
  <si>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</si>
  <si>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</si>
  <si>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</si>
  <si>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</si>
  <si>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</si>
  <si>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</si>
  <si>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</si>
  <si>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</si>
  <si>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</si>
  <si>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</si>
  <si>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</si>
  <si>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</si>
  <si>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Development of Average Balance of Common Equity</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</si>
  <si>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</si>
  <si>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</si>
  <si>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</si>
  <si>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</si>
  <si>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</si>
  <si>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</si>
  <si>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</si>
  <si>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</si>
  <si>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</si>
  <si>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</si>
  <si>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</si>
  <si>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</si>
  <si>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</si>
  <si>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</si>
  <si>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</si>
  <si>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</si>
  <si>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</si>
  <si>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57</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</si>
  <si>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</si>
  <si>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</si>
  <si>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</si>
  <si>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</si>
  <si>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</si>
  <si>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</si>
  <si>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IMPORT (paste.values) DATA from support WS F'G file (WS F tab)</t>
  </si>
  <si>
    <t>Paste 4x1 range as values from WS-G support sheet.</t>
  </si>
  <si>
    <t>Plant Investment Balances</t>
  </si>
  <si>
    <t>Pre 1971 ITC  Includable in Rate Base</t>
  </si>
  <si>
    <t>in Rate base</t>
  </si>
  <si>
    <t>(J)</t>
  </si>
  <si>
    <t xml:space="preserve">Transmission &amp; </t>
  </si>
  <si>
    <t xml:space="preserve">Distribution </t>
  </si>
  <si>
    <t>Exclusions *</t>
  </si>
  <si>
    <t>Plant Related</t>
  </si>
  <si>
    <t>(E)+(F)+(G)+(H)</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</si>
  <si>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</si>
  <si>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</si>
  <si>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</si>
  <si>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</si>
  <si>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</si>
  <si>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</si>
  <si>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</si>
  <si>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</si>
  <si>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</si>
  <si>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</si>
  <si>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</si>
  <si>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</si>
  <si>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</si>
  <si>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</si>
  <si>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</si>
  <si>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</si>
  <si>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</si>
  <si>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</si>
  <si>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</si>
  <si>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</si>
  <si>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</si>
  <si>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</si>
  <si>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</si>
  <si>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</si>
  <si>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</si>
  <si>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</si>
  <si>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</si>
  <si>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</si>
  <si>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</si>
  <si>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</si>
  <si>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</si>
  <si>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</si>
  <si>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</si>
  <si>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</si>
  <si>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D</t>
    </r>
    <r>
      <rPr>
        <sz val="12"/>
        <rFont val="Arial"/>
        <family val="2"/>
      </rPr>
      <t xml:space="preserve"> - Working Capital Rate Base Adjustments</t>
    </r>
  </si>
  <si>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</si>
  <si>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</si>
  <si>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</si>
  <si>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</si>
  <si>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</si>
  <si>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</si>
  <si>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</si>
  <si>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</si>
  <si>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Utilizing FERC Form 1 Data</t>
  </si>
  <si>
    <t>AEP Annual</t>
  </si>
  <si>
    <t>PSO Annual</t>
  </si>
  <si>
    <t>SWEPCO Annual</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</si>
  <si>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</si>
  <si>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</si>
  <si>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</si>
  <si>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</si>
  <si>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</si>
  <si>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</si>
  <si>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</si>
  <si>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</si>
  <si>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</si>
  <si>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</si>
  <si>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</si>
  <si>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</si>
  <si>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</si>
  <si>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</si>
  <si>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</si>
  <si>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Financial Hedge Amortization Reported in Column (i) on Page 256-257 (Enter Gains as a Negative Number)</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</si>
  <si>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</si>
  <si>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</si>
  <si>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</si>
  <si>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</si>
  <si>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</si>
  <si>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Subtotal of Transmission Accumulated Depreciation Net of GSU/Excluded Facilities</t>
  </si>
  <si>
    <t>Transmission Accumulated Depreciation Net of GSU/Excluded Facilities Accumulated Depreciation</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</si>
  <si>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</si>
  <si>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</si>
  <si>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</si>
  <si>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</si>
  <si>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</si>
  <si>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</si>
  <si>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</si>
  <si>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</si>
  <si>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</si>
  <si>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</si>
  <si>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</si>
  <si>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</si>
  <si>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</si>
  <si>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</si>
  <si>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</si>
  <si>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</si>
  <si>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</si>
  <si>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</si>
  <si>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</si>
  <si>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Less Account 216.1  (p. 112.12.c&amp;d)</t>
  </si>
  <si>
    <t xml:space="preserve">Less Account 219.1  (p. 112.15.c&amp;d) </t>
  </si>
  <si>
    <t>Total Proprietary Capital  (p. 112.16.c&amp;d)</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</si>
  <si>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</si>
  <si>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</si>
  <si>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</si>
  <si>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</si>
  <si>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</si>
  <si>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</si>
  <si>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</si>
  <si>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</si>
  <si>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</si>
  <si>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</si>
  <si>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</si>
  <si>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</si>
  <si>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</si>
  <si>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</si>
  <si>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</si>
  <si>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</si>
  <si>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Production Asset Retirement Obligation (ARO)</t>
  </si>
  <si>
    <t>(Note E)</t>
  </si>
  <si>
    <t>(I)</t>
  </si>
  <si>
    <t xml:space="preserve">Average of </t>
  </si>
  <si>
    <t>Balances</t>
  </si>
  <si>
    <t xml:space="preserve">Subtotal - Form 1, p 111.57.c  </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</si>
  <si>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</si>
  <si>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</si>
  <si>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</si>
  <si>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</si>
  <si>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</si>
  <si>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</si>
  <si>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</si>
  <si>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</si>
  <si>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</si>
  <si>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</si>
  <si>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</si>
  <si>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</si>
  <si>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</si>
  <si>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</si>
  <si>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</si>
  <si>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</si>
  <si>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(E)+(F)+(G)</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</si>
  <si>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</si>
  <si>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</si>
  <si>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</si>
  <si>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</si>
  <si>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</si>
  <si>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</si>
  <si>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</si>
  <si>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</si>
  <si>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</si>
  <si>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</si>
  <si>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Prepayment Balance Summary</t>
  </si>
  <si>
    <t>Source of Data</t>
  </si>
  <si>
    <t>Rate Base Item &amp; Supporting Balance</t>
  </si>
  <si>
    <t>Plant Held For Future Use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</si>
  <si>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</si>
  <si>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</si>
  <si>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</si>
  <si>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</si>
  <si>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</si>
  <si>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</si>
  <si>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</si>
  <si>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</si>
  <si>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</si>
  <si>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</si>
  <si>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</si>
  <si>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</si>
  <si>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</si>
  <si>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</si>
  <si>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</si>
  <si>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</si>
  <si>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</si>
  <si>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</si>
  <si>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</si>
  <si>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</si>
  <si>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</si>
  <si>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</si>
  <si>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</si>
  <si>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</si>
  <si>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</si>
  <si>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</si>
  <si>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</si>
  <si>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</si>
  <si>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</si>
  <si>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</si>
  <si>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</si>
  <si>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</si>
  <si>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</si>
  <si>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</si>
  <si>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</si>
  <si>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</si>
  <si>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</si>
  <si>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</si>
  <si>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</si>
  <si>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</si>
  <si>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</si>
  <si>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</si>
  <si>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</si>
  <si>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</si>
  <si>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</si>
  <si>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</si>
  <si>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</si>
  <si>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</si>
  <si>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</si>
  <si>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</si>
  <si>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</si>
  <si>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</si>
  <si>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</si>
  <si>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</si>
  <si>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</si>
  <si>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</si>
  <si>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</si>
  <si>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</si>
  <si>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</si>
  <si>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</si>
  <si>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</si>
  <si>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</si>
  <si>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</si>
  <si>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</si>
  <si>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</si>
  <si>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</si>
  <si>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</si>
  <si>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</si>
  <si>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</si>
  <si>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</si>
  <si>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</si>
  <si>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</si>
  <si>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</si>
  <si>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</si>
  <si>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</si>
  <si>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</si>
  <si>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</si>
  <si>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</si>
  <si>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</si>
  <si>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</si>
  <si>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</si>
  <si>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</si>
  <si>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</si>
  <si>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</si>
  <si>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</si>
  <si>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</si>
  <si>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</si>
  <si>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</si>
  <si>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</si>
  <si>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</si>
  <si>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</si>
  <si>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</si>
  <si>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</si>
  <si>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</si>
  <si>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</si>
  <si>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</si>
  <si>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</si>
  <si>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</si>
  <si>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</si>
  <si>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</si>
  <si>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</si>
  <si>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</si>
  <si>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</si>
  <si>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</si>
  <si>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</si>
  <si>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</si>
  <si>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</si>
  <si>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</si>
  <si>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</si>
  <si>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</si>
  <si>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</si>
  <si>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</si>
  <si>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</si>
  <si>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</si>
  <si>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</si>
  <si>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</si>
  <si>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</si>
  <si>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</si>
  <si>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</si>
  <si>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</si>
  <si>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</si>
  <si>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</si>
  <si>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</si>
  <si>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</si>
  <si>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</si>
  <si>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</si>
  <si>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</si>
  <si>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</si>
  <si>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</si>
  <si>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</si>
  <si>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</si>
  <si>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</si>
  <si>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</si>
  <si>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</si>
  <si>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</si>
  <si>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</si>
  <si>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</si>
  <si>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</si>
  <si>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</si>
  <si>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</si>
  <si>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in Rate Base</t>
  </si>
  <si>
    <t xml:space="preserve">   R   (from A. above)</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</si>
  <si>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</si>
  <si>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</si>
  <si>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</si>
  <si>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</si>
  <si>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</si>
  <si>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</si>
  <si>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</si>
  <si>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</si>
  <si>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</si>
  <si>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</si>
  <si>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</si>
  <si>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</si>
  <si>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</si>
  <si>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</si>
  <si>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</si>
  <si>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</si>
  <si>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</si>
  <si>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</si>
  <si>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Excluded Facilities Accumulated Depreciation</t>
  </si>
  <si>
    <t>Excluded Facilities Net Balance</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</si>
  <si>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</si>
  <si>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</si>
  <si>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</si>
  <si>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</si>
  <si>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</si>
  <si>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</si>
  <si>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</si>
  <si>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</si>
  <si>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</si>
  <si>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</si>
  <si>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</si>
  <si>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</si>
  <si>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</si>
  <si>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</si>
  <si>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</si>
  <si>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</si>
  <si>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</si>
  <si>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</si>
  <si>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</si>
  <si>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</si>
  <si>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</si>
  <si>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</si>
  <si>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</si>
  <si>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</si>
  <si>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</si>
  <si>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</si>
  <si>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</si>
  <si>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</si>
  <si>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</si>
  <si>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</si>
  <si>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</si>
  <si>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</si>
  <si>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</si>
  <si>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</si>
  <si>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</si>
  <si>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</si>
  <si>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</si>
  <si>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</si>
  <si>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</si>
  <si>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</si>
  <si>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</si>
  <si>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</si>
  <si>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</si>
  <si>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</si>
  <si>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</si>
  <si>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</si>
  <si>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</si>
  <si>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</si>
  <si>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</si>
  <si>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</si>
  <si>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</si>
  <si>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</si>
  <si>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</si>
  <si>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</si>
  <si>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</si>
  <si>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</si>
  <si>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Less: GSU &amp; Excl Facilities Acc Dep</t>
  </si>
  <si>
    <t>__% Series -  - Dividend Rate (p. 250-251. __.a)</t>
  </si>
  <si>
    <t>__% Series -  - Par Value (p. 250-251. __.c)</t>
  </si>
  <si>
    <t xml:space="preserve">__% Series -  - Shares O/S (p.250-251. __.e) </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</si>
  <si>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</si>
  <si>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</si>
  <si>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</si>
  <si>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</si>
  <si>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</si>
  <si>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</si>
  <si>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</si>
  <si>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</si>
  <si>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</si>
  <si>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</si>
  <si>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</si>
  <si>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</si>
  <si>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</si>
  <si>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</si>
  <si>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</si>
  <si>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</si>
  <si>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</si>
  <si>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</si>
  <si>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</si>
  <si>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</si>
  <si>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</si>
  <si>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</si>
  <si>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</si>
  <si>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</si>
  <si>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</si>
  <si>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</si>
  <si>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</si>
  <si>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</si>
  <si>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</si>
  <si>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</si>
  <si>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</si>
  <si>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</si>
  <si>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</si>
  <si>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</si>
  <si>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</si>
  <si>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</si>
  <si>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</si>
  <si>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</si>
  <si>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</si>
  <si>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</si>
  <si>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</si>
  <si>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</si>
  <si>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</si>
  <si>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</si>
  <si>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</si>
  <si>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</si>
  <si>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</si>
  <si>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</si>
  <si>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</si>
  <si>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</si>
  <si>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</si>
  <si>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</si>
  <si>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</si>
  <si>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</si>
  <si>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</si>
  <si>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</si>
  <si>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</si>
  <si>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</si>
  <si>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</si>
  <si>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</si>
  <si>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</si>
  <si>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</si>
  <si>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</si>
  <si>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</si>
  <si>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</si>
  <si>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</si>
  <si>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</si>
  <si>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</si>
  <si>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</si>
  <si>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</si>
  <si>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</si>
  <si>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</si>
  <si>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</si>
  <si>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</si>
  <si>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</si>
  <si>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</si>
  <si>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</si>
  <si>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</si>
  <si>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</si>
  <si>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</si>
  <si>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</si>
  <si>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</si>
  <si>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</si>
  <si>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</si>
  <si>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</si>
  <si>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</si>
  <si>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</si>
  <si>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</si>
  <si>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</si>
  <si>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</si>
  <si>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</si>
  <si>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</si>
  <si>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</si>
  <si>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</si>
  <si>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</si>
  <si>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</si>
  <si>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</si>
  <si>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</si>
  <si>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</si>
  <si>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</si>
  <si>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</si>
  <si>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</si>
  <si>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</si>
  <si>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</si>
  <si>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</si>
  <si>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</si>
  <si>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</si>
  <si>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</si>
  <si>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</si>
  <si>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</si>
  <si>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</si>
  <si>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</si>
  <si>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</si>
  <si>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</si>
  <si>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</si>
  <si>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</si>
  <si>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</si>
  <si>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</si>
  <si>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</si>
  <si>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</si>
  <si>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</si>
  <si>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State Income Tax Rate - Louisiana</t>
  </si>
  <si>
    <t>State Income Tax Rate - Arkansas</t>
  </si>
  <si>
    <t>Removes transmission plant (e.g. step-up transformers) included in the development of OATT ancillary service rates and not already removed for reasons indicated in Note Q.</t>
  </si>
  <si>
    <t xml:space="preserve">Calculation of Actual/ Projected Zonal Rate For Schedule 9 </t>
  </si>
  <si>
    <t>..</t>
  </si>
  <si>
    <t>PSO  Annual</t>
  </si>
  <si>
    <t>SWEPCO  Annual</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</si>
  <si>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</si>
  <si>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</si>
  <si>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</si>
  <si>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</si>
  <si>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</si>
  <si>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</si>
  <si>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</si>
  <si>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</si>
  <si>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</si>
  <si>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</si>
  <si>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</si>
  <si>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</si>
  <si>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</si>
  <si>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</si>
  <si>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</si>
  <si>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</si>
  <si>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</si>
  <si>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</si>
  <si>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</si>
  <si>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</si>
  <si>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</si>
  <si>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</si>
  <si>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</si>
  <si>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</si>
  <si>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</si>
  <si>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</si>
  <si>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</si>
  <si>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</si>
  <si>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</si>
  <si>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</si>
  <si>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</si>
  <si>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As Billed</t>
  </si>
  <si>
    <t>Change</t>
  </si>
  <si>
    <t>SOUTHWESTERN ELECTRIC POWER COMPANY</t>
  </si>
  <si>
    <r>
      <t xml:space="preserve">Total Adjustments
</t>
    </r>
    <r>
      <rPr>
        <sz val="8"/>
        <rFont val="Arial"/>
        <family val="2"/>
      </rPr>
      <t>(Forecast, Billing, &amp; Interest)</t>
    </r>
  </si>
  <si>
    <t>S.001</t>
  </si>
  <si>
    <t>SWE</t>
  </si>
  <si>
    <t>Arsenal Hill Auto xfmr &amp; AH to Water Works line</t>
  </si>
  <si>
    <t>S.002</t>
  </si>
  <si>
    <t>SW Shreveport (sub work &amp; tap)</t>
  </si>
  <si>
    <t>S.003</t>
  </si>
  <si>
    <t>[NW Ark Area Improve - 2009]  E. Centerton-Flint Crk, E Rogers-N Rogers, Centerton</t>
  </si>
  <si>
    <t>S.004</t>
  </si>
  <si>
    <t>Rebuild N. Magazine - Danville 161 kV Line</t>
  </si>
  <si>
    <t>S.005</t>
  </si>
  <si>
    <t>[Greenwood, AR Area Improve]  N Huntington, Greenwood, Reeves, Bonanza</t>
  </si>
  <si>
    <t>S.006</t>
  </si>
  <si>
    <t>Port Robson-Caplis Line (SW 138 kV Loop -- 2009)</t>
  </si>
  <si>
    <t>S.007</t>
  </si>
  <si>
    <t>Linwood 138 Station Switch Replacement*</t>
  </si>
  <si>
    <t>S.008</t>
  </si>
  <si>
    <t>Dyess to S. Fayetteville 69 kV Convert to 161 kV (multi-projects)</t>
  </si>
  <si>
    <t>S.009</t>
  </si>
  <si>
    <t>Northwest Texarkana-Bann-Alumax Tap 138kV -- reconductor</t>
  </si>
  <si>
    <t>S.010</t>
  </si>
  <si>
    <t>Tontitown - Elm Springs REC 161 kV line***</t>
  </si>
  <si>
    <t>S.011</t>
  </si>
  <si>
    <t>Siloam Springs - Chamber Springs 161 kV line***</t>
  </si>
  <si>
    <t>S.012</t>
  </si>
  <si>
    <t>Knox Lee - Oak Hill #2 138 kV line, S. Shreveport  (SWE Minor Proj II)</t>
  </si>
  <si>
    <t>S.013</t>
  </si>
  <si>
    <t xml:space="preserve">Carthage REC - Carthage T 138 kV </t>
  </si>
  <si>
    <t>S.014</t>
  </si>
  <si>
    <t>NW Henderson - Oak Hill 138 kV line*</t>
  </si>
  <si>
    <t>S.015</t>
  </si>
  <si>
    <t>Arsenal Hill 138kV Device (Cap. Bank)</t>
  </si>
  <si>
    <t>S.016</t>
  </si>
  <si>
    <t>Daingerfield - Jenkins REC 69 kV CB Repl**</t>
  </si>
  <si>
    <t>S.017</t>
  </si>
  <si>
    <t>Linwood-McWillie 138 kV Rebuild</t>
  </si>
  <si>
    <t>S.018</t>
  </si>
  <si>
    <t>Port Robson (SW 138 kV Loop -- 2008)</t>
  </si>
  <si>
    <t>S.019</t>
  </si>
  <si>
    <t>Wallace Lake-Prt Robson-Red Point 138 kV Loop</t>
  </si>
  <si>
    <t>S.020</t>
  </si>
  <si>
    <t>[NW Ark Area Improve - 2008]  Elm Springs, East Rogers, Shipe Road Stations</t>
  </si>
  <si>
    <t>S.021</t>
  </si>
  <si>
    <t>Reconductor 4 mi. of McNabb-Turk</t>
  </si>
  <si>
    <t>S.022</t>
  </si>
  <si>
    <t>Longwood: r&amp;r switches, upgrade bus</t>
  </si>
  <si>
    <t>S.023</t>
  </si>
  <si>
    <t>Reconductor: Greggton-Lake Lamond &amp; Quitman-Westwood 69 kV lines</t>
  </si>
  <si>
    <t>S.024</t>
  </si>
  <si>
    <t>Rebuild/reconductor Dyess-Elm Springs REC [Dyess Station-Flint Creek]</t>
  </si>
  <si>
    <t>S.025</t>
  </si>
  <si>
    <t>Replace switch at Diana*</t>
  </si>
  <si>
    <t>S.026</t>
  </si>
  <si>
    <t>Whitney repl CB and Switches</t>
  </si>
  <si>
    <t>S.027</t>
  </si>
  <si>
    <t>Linwood - Powell Street 138 kV</t>
  </si>
  <si>
    <t>S.028</t>
  </si>
  <si>
    <t xml:space="preserve">Bloomburg-Texarkana Plant </t>
  </si>
  <si>
    <t>S.029</t>
  </si>
  <si>
    <t xml:space="preserve">Knox Lee - Pirkey 138 kV / Pirkey - Whitney 138 kV - Replace Breaker,  Wavetraps, and reset relays and CT's </t>
  </si>
  <si>
    <t>S.030</t>
  </si>
  <si>
    <t>NW Texarkana - Turk 345</t>
  </si>
  <si>
    <t>S.031</t>
  </si>
  <si>
    <t>Lone Star South - Pittsburg 138 kV - Replace Wavetraps, reset CT's and Relays</t>
  </si>
  <si>
    <t>S.032</t>
  </si>
  <si>
    <t>Howell-Kilgore 69 kV rebuild</t>
  </si>
  <si>
    <t>S.033</t>
  </si>
  <si>
    <t xml:space="preserve"> Flint Creek-Shipe Road 345 kV Line</t>
  </si>
  <si>
    <t>S.034</t>
  </si>
  <si>
    <t>Bann - LS Ordnance - Hooks 69 kV - Rebuild 7.1 mi</t>
  </si>
  <si>
    <t>S.035</t>
  </si>
  <si>
    <t>Diana - Replace North Autotransformer #3</t>
  </si>
  <si>
    <t>S.036</t>
  </si>
  <si>
    <t>Osburn 161 kV Line Work</t>
  </si>
  <si>
    <t>S.037</t>
  </si>
  <si>
    <t>SW Shreveport to Spring Ridge REC 138 kV Line Rebuild</t>
  </si>
  <si>
    <t>S.038</t>
  </si>
  <si>
    <t>Eastex Switching Station - Whitney 138 kV Station - Rebuild 2.5 miles of 138 Kv</t>
  </si>
  <si>
    <t>S.039</t>
  </si>
  <si>
    <t>Ashdown West - Craig Junction 138KV Rebuild (tie w/PSO)</t>
  </si>
  <si>
    <t>S.040</t>
  </si>
  <si>
    <t xml:space="preserve">Rock Hill to Carthage 69 kV Rebuild 11.4 Miles </t>
  </si>
  <si>
    <t>S.041</t>
  </si>
  <si>
    <t>Broadmoor to Fern Street 69 kV Rebuild 1 mile</t>
  </si>
  <si>
    <t>S.042</t>
  </si>
  <si>
    <t>Northwest Henderson to Poynter 69 kV Rebuild 3.2 miles</t>
  </si>
  <si>
    <t>S.043</t>
  </si>
  <si>
    <t>Diana to Perdue 138 kV Rebuild 21.8 miles; Station Upgrades at Diana and Perdue</t>
  </si>
  <si>
    <t>S.044</t>
  </si>
  <si>
    <t>Pittsburg-Winnsboro-North Mineola</t>
  </si>
  <si>
    <t>S.045</t>
  </si>
  <si>
    <t>CHAMBER SPRINGS - TONTITOWN 161KV CKT 1</t>
  </si>
  <si>
    <t>S.046</t>
  </si>
  <si>
    <t>CHAMBER SPRINGS - TONTITOWN 345KV CKT 1</t>
  </si>
  <si>
    <t>S.047</t>
  </si>
  <si>
    <t>FULTON - HOPE 115KV CKT 1</t>
  </si>
  <si>
    <t>S.048</t>
  </si>
  <si>
    <t>MINEOLA - NORTH MINEOLA 69KV CKT 1</t>
  </si>
  <si>
    <t>S.049</t>
  </si>
  <si>
    <t xml:space="preserve">SUGAR HILL 138/69KV TRANSFORMER CKT 1 </t>
  </si>
  <si>
    <t>S.050</t>
  </si>
  <si>
    <t>Dekalb-New Boston 69 kV</t>
  </si>
  <si>
    <t>S.051</t>
  </si>
  <si>
    <t>Hardy Street-Waterworks 69 kV</t>
  </si>
  <si>
    <t>S.052</t>
  </si>
  <si>
    <t>Red Oak (State Line)-North Huntington 69 kV</t>
  </si>
  <si>
    <t>S.053</t>
  </si>
  <si>
    <t>Mt. Pleasant - West Mt. Pleasant 69 kV Ckt 1)</t>
  </si>
  <si>
    <t>S.054</t>
  </si>
  <si>
    <t>Benteler - Port Robson 138 kV Ckt 1 and 2</t>
  </si>
  <si>
    <t>S.055</t>
  </si>
  <si>
    <t>S.056</t>
  </si>
  <si>
    <t>S.057</t>
  </si>
  <si>
    <t>S.058</t>
  </si>
  <si>
    <t>S.059</t>
  </si>
  <si>
    <t>SWEPCO Total</t>
  </si>
  <si>
    <t>Peak Day</t>
  </si>
  <si>
    <t>12 Month</t>
  </si>
  <si>
    <t xml:space="preserve">Line </t>
  </si>
  <si>
    <t>Peak Hour</t>
  </si>
  <si>
    <t>SPP Load Responsibility</t>
  </si>
  <si>
    <t>Supporting Data</t>
  </si>
  <si>
    <t>PSO:</t>
  </si>
  <si>
    <t xml:space="preserve">KAMO </t>
  </si>
  <si>
    <t>Allen Holdenville</t>
  </si>
  <si>
    <t xml:space="preserve">SWEPCO: </t>
  </si>
  <si>
    <t>AEP Companies: PSO and SWEPCO</t>
  </si>
  <si>
    <t>Unless noted (e.g., PSO), the loads reported on lines 1 through 20 are the customer's schedule 9 and 11 load.</t>
  </si>
  <si>
    <t>System Firm Peak Demands</t>
  </si>
  <si>
    <t>Sched - 9 12CP</t>
  </si>
  <si>
    <t>`</t>
  </si>
  <si>
    <t>PSO E&amp;W portion allocated to  WFEC zone</t>
  </si>
  <si>
    <t>100% PSO E&amp;W included in PSO native load</t>
  </si>
  <si>
    <t xml:space="preserve">PSO OATT Load Responsibility </t>
  </si>
  <si>
    <t>Dolet Hills Aux. Load (not self-generated)</t>
  </si>
  <si>
    <t xml:space="preserve">SWEPCO OATT Load Responsibility </t>
  </si>
  <si>
    <t>pr yr</t>
  </si>
  <si>
    <t>Sched - 11 12CP</t>
  </si>
  <si>
    <t>AEP Schedule 11 Worksheet</t>
  </si>
  <si>
    <t>PSO OATT Sched 9 load, Ln 1</t>
  </si>
  <si>
    <t>less GRDA load on PSO Jan-Nov(b) 2015 no longer used</t>
  </si>
  <si>
    <t xml:space="preserve">     WFEC load already subtracted  from PSO schedule 9 load line 1</t>
  </si>
  <si>
    <t>Subtotal PSO Schedule 11 load</t>
  </si>
  <si>
    <t>SWEPCO Sched 11 load, Ln 2</t>
  </si>
  <si>
    <t>TOTAL AEP Affiliate Schedule 11 Load</t>
  </si>
  <si>
    <t>TOTAL AEP ZONAL SCHEDULE 11</t>
  </si>
  <si>
    <t xml:space="preserve">Combined Load Worksheet </t>
  </si>
  <si>
    <t>Day</t>
  </si>
  <si>
    <t>Hour</t>
  </si>
  <si>
    <t>Based on West Zone-SPP Monthly Transmission System Firm Peak Demands for the Twelve Months Ended December 31, YYYY</t>
  </si>
  <si>
    <t>S.060</t>
  </si>
  <si>
    <t>S.061</t>
  </si>
  <si>
    <t>S.062</t>
  </si>
  <si>
    <t>S.063</t>
  </si>
  <si>
    <t>S.064</t>
  </si>
  <si>
    <t>S.065</t>
  </si>
  <si>
    <t>S.066</t>
  </si>
  <si>
    <t>S.067</t>
  </si>
  <si>
    <t>Valliant-NW Texarkana 345 kV</t>
  </si>
  <si>
    <t>Ellerbe Rd-S Shreveport 69 kv Build</t>
  </si>
  <si>
    <t>Logansport 138 kv</t>
  </si>
  <si>
    <t>Winnsboro 138 kw</t>
  </si>
  <si>
    <t>Rock Hill-Springridge Pan-Harr REC 138 kv</t>
  </si>
  <si>
    <t>Brownlee-North Mrket 69 kv Rebuild</t>
  </si>
  <si>
    <t>Messick 500/230 kV</t>
  </si>
  <si>
    <t>Letourneau 69 kV Capacitor Bank Addition</t>
  </si>
  <si>
    <t>Brooks Street - Edwards Street 69 kV Line Rebuild</t>
  </si>
  <si>
    <t>Hallsville - Marshall New 69 kV Circuit</t>
  </si>
  <si>
    <t>Daingerfield - Jenkins Rebuild</t>
  </si>
  <si>
    <t>Broadmoor - Fort Humbug Rebuild</t>
  </si>
  <si>
    <t>Chamber Springs - Farmington 161 kV Line</t>
  </si>
  <si>
    <t>SUN Series 5.55% Financial Hedge (p 257/Ln 25)</t>
  </si>
  <si>
    <t>TX Gross Receipts/OH CAT Tax</t>
  </si>
  <si>
    <t>Arkansas Ad Valorum</t>
  </si>
  <si>
    <t>Louisiana Ad Valorum</t>
  </si>
  <si>
    <t>Texas Ad Valorum</t>
  </si>
  <si>
    <t>Federal Insurance Contribution (FICA)</t>
  </si>
  <si>
    <t>Federal Unemployment Tax</t>
  </si>
  <si>
    <t>State Unemployment Insurance</t>
  </si>
  <si>
    <t>Federal Excise Tax</t>
  </si>
  <si>
    <t>OK State License</t>
  </si>
  <si>
    <t>AR State License</t>
  </si>
  <si>
    <t>NE State License</t>
  </si>
  <si>
    <t>DE State License</t>
  </si>
  <si>
    <t>AR Local Franchise</t>
  </si>
  <si>
    <t>TX Local Franchise</t>
  </si>
  <si>
    <t>TX PUC</t>
  </si>
  <si>
    <t>LA Insp &amp; Cntrl Fees</t>
  </si>
  <si>
    <t>State License Registration</t>
  </si>
  <si>
    <t>General Advertising Expenses</t>
  </si>
  <si>
    <t>Misc General Expenses</t>
  </si>
  <si>
    <t>1650001</t>
  </si>
  <si>
    <t>Prepaid Insurance</t>
  </si>
  <si>
    <t>1650005</t>
  </si>
  <si>
    <t>Prepaid Employee Benefits</t>
  </si>
  <si>
    <t>1650006</t>
  </si>
  <si>
    <t>Other Prepayments</t>
  </si>
  <si>
    <t>1650009</t>
  </si>
  <si>
    <t>1650010</t>
  </si>
  <si>
    <t>Prepaid Pension Benefits</t>
  </si>
  <si>
    <t>Prepaid Sales Taxes</t>
  </si>
  <si>
    <t>165001116</t>
  </si>
  <si>
    <t>Prepaid Use Taxes</t>
  </si>
  <si>
    <t>165001216</t>
  </si>
  <si>
    <t>Prepaid Local Franchise Taxes</t>
  </si>
  <si>
    <t>165001316</t>
  </si>
  <si>
    <t>1650014</t>
  </si>
  <si>
    <t>FAS 158 Qual Contra Asset</t>
  </si>
  <si>
    <t>Prepayment - Coal</t>
  </si>
  <si>
    <t>Prepaid Insurance - EIS</t>
  </si>
  <si>
    <t>Other Prepayments - Long Term</t>
  </si>
  <si>
    <t>Prepaid OCIP Work Comp</t>
  </si>
  <si>
    <t>PRW Without MED-D Benefits</t>
  </si>
  <si>
    <t>PRW for Med-D Benefits</t>
  </si>
  <si>
    <t>2821001</t>
  </si>
  <si>
    <t xml:space="preserve">   230A ACRS BENEFIT NORMALIZED - MJE</t>
  </si>
  <si>
    <t xml:space="preserve">   230I CAPD INTEREST-SECTION 481(a)-CHANGE IN METHD </t>
  </si>
  <si>
    <t xml:space="preserve">   230J RELOCATION CST-SECTION 481(a)-CHANGE IN METHD</t>
  </si>
  <si>
    <t xml:space="preserve">   230X R &amp; D DEDUCTION - SEC 174</t>
  </si>
  <si>
    <t xml:space="preserve">   234Q MACRS TAX DEPRECIATION - RAIL CARS</t>
  </si>
  <si>
    <t xml:space="preserve">   260A SPARE PARTS INVENTORY</t>
  </si>
  <si>
    <t xml:space="preserve">   280H BK PLANT IN SERVICE - SFAS 143 - ARO</t>
  </si>
  <si>
    <t xml:space="preserve">   295A GAIN/LOSS ON ACRS/MACRS PROPERTY</t>
  </si>
  <si>
    <t xml:space="preserve">   295C GAIN/LOSS-ACRS/MACRS-BK/TX UNIT PROP</t>
  </si>
  <si>
    <t xml:space="preserve">   295D TAX LOSS ON PLANT RETIREMENTS</t>
  </si>
  <si>
    <t xml:space="preserve">   320A ABFUDC</t>
  </si>
  <si>
    <t xml:space="preserve">   380J INT EXP CAPITALIZED FOR TAX</t>
  </si>
  <si>
    <t xml:space="preserve">   390A CIAC - BOOK RECEIPTS</t>
  </si>
  <si>
    <t xml:space="preserve">   510H PROPERTY TAX-NEW METHOD-BOOK</t>
  </si>
  <si>
    <t xml:space="preserve">   532A PERCENT REPAIR ALLOWANCE</t>
  </si>
  <si>
    <t xml:space="preserve">   532C BOOK/TAX UNIT OF PROPERTY ADJ</t>
  </si>
  <si>
    <t xml:space="preserve">   532D BK/TX UNIT OF PROPERTY ADJ-SEC 481 ADJ</t>
  </si>
  <si>
    <t xml:space="preserve">   534A CAPITALIZED RELOCATION COSTS</t>
  </si>
  <si>
    <t xml:space="preserve">   651A IMPAIRED ASSETS RES-FAS 121-BK</t>
  </si>
  <si>
    <t xml:space="preserve">   662A WRITE-OFF RE SFAS 71</t>
  </si>
  <si>
    <t xml:space="preserve">   662B SFAS 109 WRITE-OFF RE SFAS 71</t>
  </si>
  <si>
    <t xml:space="preserve">   680A JOINT VENTURES-SYS FUEL PRJ-TX</t>
  </si>
  <si>
    <t xml:space="preserve">   710W BREM &amp; HAUGH ACQUSITON ADJ-TX</t>
  </si>
  <si>
    <t xml:space="preserve">   711N CAPITALIZED SOFTWARE COSTS-TAX</t>
  </si>
  <si>
    <t xml:space="preserve">   711O BOOK LEASES CAPITALIZED FOR TAX</t>
  </si>
  <si>
    <t xml:space="preserve">   712K CAPITALIZED SOFTWARE COST-BOOK</t>
  </si>
  <si>
    <t xml:space="preserve">   910J INTEREST EXPENSE - COAL CARS</t>
  </si>
  <si>
    <t xml:space="preserve">   910K REMOVAL CST</t>
  </si>
  <si>
    <t xml:space="preserve">   910W REMOVAL COSTS REV-SFAS 143-ARO</t>
  </si>
  <si>
    <t>2831001</t>
  </si>
  <si>
    <t xml:space="preserve">   014C-DSIT NOL-STATE C/F-DEF STATE TAX ASSET-L/T</t>
  </si>
  <si>
    <t xml:space="preserve">   575E MTM BK GAIN-A/L-TAX DEFL</t>
  </si>
  <si>
    <t xml:space="preserve">   575E-MJE MTM BK GAIN-A/L-TAX DEFL - MJE</t>
  </si>
  <si>
    <t xml:space="preserve">   576E MARK &amp; SPREAD-DEFL-283-A/L</t>
  </si>
  <si>
    <t xml:space="preserve">   605B ACCRUED BK PENSION EXPENSE</t>
  </si>
  <si>
    <t xml:space="preserve">   605C ACCRUED BK PENSION COSTS - SFAS 158</t>
  </si>
  <si>
    <t xml:space="preserve">   630J DEFD STORM DAMAGE</t>
  </si>
  <si>
    <t xml:space="preserve">   630M RATE CASE DEFD CHGS</t>
  </si>
  <si>
    <t xml:space="preserve">   632U BK DEFL-DEMAND SIDE MNGMT EXP</t>
  </si>
  <si>
    <t xml:space="preserve">   638A BOOK &gt; TAX BASIS - EMA-A/C 283</t>
  </si>
  <si>
    <t xml:space="preserve">   660A TRANSITION REGULATORY ASSETS</t>
  </si>
  <si>
    <t xml:space="preserve">   660F REG ASSET-SFAS 143 - ARO</t>
  </si>
  <si>
    <t xml:space="preserve">   661R REG ASSET-SFAS 158 - PENSIONS</t>
  </si>
  <si>
    <t xml:space="preserve">   661S REG ASSET-SFAS 158 - SERP</t>
  </si>
  <si>
    <t xml:space="preserve">   661T REG ASSET-SFAS 158 - OPEB</t>
  </si>
  <si>
    <t xml:space="preserve">   664A REG ASSET-UND/REC ENVIRON ADJ CLAUSE-LA</t>
  </si>
  <si>
    <t xml:space="preserve">   664R REG ASSET-VALLEY DISTRICT DUE DILIGENCE</t>
  </si>
  <si>
    <t xml:space="preserve">   664S REG ASSET-VEMCO EMPLOYEE RETIREMENT</t>
  </si>
  <si>
    <t xml:space="preserve">   664U REG ASSET-VEMCO ACQUIS/INVESTMENTS</t>
  </si>
  <si>
    <t xml:space="preserve">   664V REG ASSET-NET CCS FEED STUDY COSTS</t>
  </si>
  <si>
    <t xml:space="preserve">   664X REG ASSET-SWEPCO/VEMCO TRANSACTION COST</t>
  </si>
  <si>
    <t xml:space="preserve">   668P REG ASSET-LA 2009 FRP ASSET</t>
  </si>
  <si>
    <t xml:space="preserve">   669X REG ASSET-SWEPCO SHIPE ROAD</t>
  </si>
  <si>
    <t xml:space="preserve">   669Y REG ASSET-2010 SEVERANCE COSTS-LA FRP</t>
  </si>
  <si>
    <t xml:space="preserve">   670O REG ASSET-ENVIRONMENTAL CHEMICAL COST-AR</t>
  </si>
  <si>
    <t xml:space="preserve">   672P REG ASSET-FACILITIES MAINT-SWEPCO LA</t>
  </si>
  <si>
    <t xml:space="preserve">   673J REG ASSET-WELSH/FLINT CRK ENVIRON DEF</t>
  </si>
  <si>
    <t xml:space="preserve">   673K REG ASSET-WELSH/FLINT CRK ENVIRON-CONTRA </t>
  </si>
  <si>
    <t xml:space="preserve">   900A LOSS ON REACQUIRED DEBT</t>
  </si>
  <si>
    <t xml:space="preserve">   900F BK DEFL-GAIN REACQUIRED DEBT</t>
  </si>
  <si>
    <t xml:space="preserve">   906A ACCRD SFAS 106 PST RETIRE EXP</t>
  </si>
  <si>
    <t xml:space="preserve">   906D SFAS 106 PST RETIRE EXP - NON-DEDUCT CONT</t>
  </si>
  <si>
    <t xml:space="preserve">   906K ACCRD SFAS 112 PST EMPLOY BEN</t>
  </si>
  <si>
    <t xml:space="preserve">   906Z SFAS 106 - MEDICARE SUBSIDY - (PPACA)-REG ASSET</t>
  </si>
  <si>
    <t xml:space="preserve">   913Y BK DEFL - MERGER COSTS</t>
  </si>
  <si>
    <t xml:space="preserve">   921A BK DEPLETION-MINERALS &amp; RIGHTS</t>
  </si>
  <si>
    <t xml:space="preserve">   930A BOOK &gt; TAX BASIS-PRTSHP INVEST</t>
  </si>
  <si>
    <t xml:space="preserve">   940K 1988-1990 IRS AUDIT SETTLEMENT</t>
  </si>
  <si>
    <t>1901001</t>
  </si>
  <si>
    <t xml:space="preserve">   011C</t>
  </si>
  <si>
    <t xml:space="preserve">   011C-DFIT TAX CREDIT C/F - DEF TAX ASSET</t>
  </si>
  <si>
    <t xml:space="preserve">   011C-MJE TAX CREDIT C/F - DEF TAX ASSET- MJE </t>
  </si>
  <si>
    <t xml:space="preserve">   433A</t>
  </si>
  <si>
    <t xml:space="preserve">   433A PUCT FUEL O/U RECOVERY-RETAIL</t>
  </si>
  <si>
    <t xml:space="preserve">   433B</t>
  </si>
  <si>
    <t xml:space="preserve">   433B INTEREST-FUEL OVER/UNDER RECOVERY</t>
  </si>
  <si>
    <t xml:space="preserve">   433C</t>
  </si>
  <si>
    <t xml:space="preserve">   433C AR - FUEL OVER/UNDER RECOVERY</t>
  </si>
  <si>
    <t xml:space="preserve">   433D</t>
  </si>
  <si>
    <t xml:space="preserve">   433D LA - FUEL OVER/UNDER RECOVERY</t>
  </si>
  <si>
    <t xml:space="preserve">   460A</t>
  </si>
  <si>
    <t xml:space="preserve">   460A UNBILLED REVENUE</t>
  </si>
  <si>
    <t xml:space="preserve">   520A</t>
  </si>
  <si>
    <t xml:space="preserve">   520A PROVS POSS REV REFDS-A/L</t>
  </si>
  <si>
    <t xml:space="preserve">   576F</t>
  </si>
  <si>
    <t xml:space="preserve">   576F MARK &amp; SPREAD-DEFL-190-A/L</t>
  </si>
  <si>
    <t xml:space="preserve">   602A</t>
  </si>
  <si>
    <t xml:space="preserve">   602A PROV WORKER'S COMP</t>
  </si>
  <si>
    <t xml:space="preserve">   605E</t>
  </si>
  <si>
    <t xml:space="preserve">   605E SUPPLEMENTAL EXECUTIVE RETIREMENT PLAN</t>
  </si>
  <si>
    <t xml:space="preserve">   605F</t>
  </si>
  <si>
    <t xml:space="preserve">   605F ACCRD SUP EXEC RETIR PLAN COSTS-SFAS 158</t>
  </si>
  <si>
    <t xml:space="preserve">   605I</t>
  </si>
  <si>
    <t xml:space="preserve">   605I ACCRD BK SUP. SAVINGS PLAN EXP</t>
  </si>
  <si>
    <t xml:space="preserve">   605J</t>
  </si>
  <si>
    <t xml:space="preserve">   605J EMPLOYER SAVINGS PLAN MATCH</t>
  </si>
  <si>
    <t xml:space="preserve">   605K</t>
  </si>
  <si>
    <t xml:space="preserve">   605K ACCRUED BK BENEFIT COSTS</t>
  </si>
  <si>
    <t xml:space="preserve">   605O</t>
  </si>
  <si>
    <t xml:space="preserve">   605O ACCRUED PSI PLAN EXP</t>
  </si>
  <si>
    <t xml:space="preserve">   610A</t>
  </si>
  <si>
    <t xml:space="preserve">   610A BK PROV UNCOLL ACCTS - ST</t>
  </si>
  <si>
    <t xml:space="preserve">   610U</t>
  </si>
  <si>
    <t xml:space="preserve">   610U PROV-TRADING CREDIT RISK - A/L</t>
  </si>
  <si>
    <t xml:space="preserve">   610V</t>
  </si>
  <si>
    <t xml:space="preserve">   610V PROV-FAS 157 - A/L</t>
  </si>
  <si>
    <t xml:space="preserve">   611E</t>
  </si>
  <si>
    <t xml:space="preserve">   611E ACCRUED MINE RECLAMATION</t>
  </si>
  <si>
    <t xml:space="preserve">   611G</t>
  </si>
  <si>
    <t xml:space="preserve">   611G DEFD COMPENSATION-BOOK EXPENSE</t>
  </si>
  <si>
    <t xml:space="preserve">   612Y</t>
  </si>
  <si>
    <t xml:space="preserve">   612Y ACCRD COMPANYWIDE INCENTV PLAN</t>
  </si>
  <si>
    <t xml:space="preserve">   613C</t>
  </si>
  <si>
    <t xml:space="preserve">   613C ACCRD ENVIRONMENTAL LIAB-CURRENT</t>
  </si>
  <si>
    <t xml:space="preserve">   613E</t>
  </si>
  <si>
    <t xml:space="preserve">   613E ACCRUED BOOK VACATION PAY</t>
  </si>
  <si>
    <t xml:space="preserve">   613F</t>
  </si>
  <si>
    <t xml:space="preserve">   613F ACCRD ENVIRONMENTAL LIAB-LONG TERM </t>
  </si>
  <si>
    <t xml:space="preserve">   613K</t>
  </si>
  <si>
    <t xml:space="preserve">   613K (ICDP)-INCENTIVE COMP DEFERRAL PLAN</t>
  </si>
  <si>
    <t xml:space="preserve">   615A</t>
  </si>
  <si>
    <t xml:space="preserve">   615A ACCRUED INTEREST EXP -STATE</t>
  </si>
  <si>
    <t xml:space="preserve">   615B</t>
  </si>
  <si>
    <t xml:space="preserve">   615B ACCRUED INTEREST-LONG-TERM - FIN 48</t>
  </si>
  <si>
    <t xml:space="preserve">   615B-MJE ACCRD INTRST-TAX RES-L/T-FIN 48-MJE</t>
  </si>
  <si>
    <t xml:space="preserve">   615C</t>
  </si>
  <si>
    <t xml:space="preserve">   615C ACCRUED INTEREST-SHORT-TERM - FIN 48</t>
  </si>
  <si>
    <t xml:space="preserve">   615E ACCRUED STATE INCOME TAX EXP</t>
  </si>
  <si>
    <t xml:space="preserve">   615O</t>
  </si>
  <si>
    <t xml:space="preserve">   615O BK DFL RAIL TRANS REV/EXP</t>
  </si>
  <si>
    <t xml:space="preserve">   639A</t>
  </si>
  <si>
    <t xml:space="preserve">   639A DEFD BK GAIN-NON-AFF SALE-EMA</t>
  </si>
  <si>
    <t xml:space="preserve">   641I</t>
  </si>
  <si>
    <t xml:space="preserve">   641I ADVANCE RENTAL INC (CUR MO)</t>
  </si>
  <si>
    <t xml:space="preserve">   641X</t>
  </si>
  <si>
    <t xml:space="preserve">   641X DEFERRED INCOME - DOLET HILLS MINING BUYOUT</t>
  </si>
  <si>
    <t xml:space="preserve">   651F</t>
  </si>
  <si>
    <t xml:space="preserve">   651F DISALLOWED COSTS - TURK PLANT</t>
  </si>
  <si>
    <t xml:space="preserve">   651H</t>
  </si>
  <si>
    <t xml:space="preserve">   651H DISALLOWED COSTS - TURK PLANT AUX BOILER</t>
  </si>
  <si>
    <t xml:space="preserve">   652G</t>
  </si>
  <si>
    <t xml:space="preserve">   652G REG LIAB-UNREAL MTM GAIN-DEFL</t>
  </si>
  <si>
    <t xml:space="preserve">   701A</t>
  </si>
  <si>
    <t xml:space="preserve">   701A AMORT - GOODWILL PER BOOKS</t>
  </si>
  <si>
    <t xml:space="preserve">   702A</t>
  </si>
  <si>
    <t xml:space="preserve">   702A GOODWILL PER TAX</t>
  </si>
  <si>
    <t xml:space="preserve">   710H</t>
  </si>
  <si>
    <t xml:space="preserve">   710H AMORT ELEC PLT ACQ ADJS</t>
  </si>
  <si>
    <t xml:space="preserve">   906F</t>
  </si>
  <si>
    <t xml:space="preserve">   906F ACCRD OPEB COSTS - SFAS 158</t>
  </si>
  <si>
    <t xml:space="preserve">   906P</t>
  </si>
  <si>
    <t xml:space="preserve">   906P ACCRD BOOK ARO EXPENSE - SFAS 143</t>
  </si>
  <si>
    <t xml:space="preserve">   911F</t>
  </si>
  <si>
    <t xml:space="preserve">   911F-FIN48 FIN 48 DSIT</t>
  </si>
  <si>
    <t xml:space="preserve">   911Q-DSIT DSIT ENTRY - NORMALIZED</t>
  </si>
  <si>
    <t xml:space="preserve">   911S ACCRUED SALES &amp; USE TAX RESERVE</t>
  </si>
  <si>
    <t xml:space="preserve">   911S ACCRUED SALES &amp; USE TAX RESERVE - MJE</t>
  </si>
  <si>
    <t xml:space="preserve">   911V</t>
  </si>
  <si>
    <t xml:space="preserve">   911V ACCRD SIT TX RESERVE-LNG-TERM-FIN 48</t>
  </si>
  <si>
    <t xml:space="preserve">   911V-MJE ACCRD SIT TX RES-LNG-TERM-FIN 48-MJE</t>
  </si>
  <si>
    <t xml:space="preserve">   911W</t>
  </si>
  <si>
    <t xml:space="preserve">   911W ACCRD SIT TX RESERVE-SHRT-TERM-FIN 48</t>
  </si>
  <si>
    <t xml:space="preserve">   940X</t>
  </si>
  <si>
    <t xml:space="preserve">   940X IRS CAPITALIZATION ADJUSTMENT</t>
  </si>
  <si>
    <t xml:space="preserve">   960E</t>
  </si>
  <si>
    <t xml:space="preserve">   960E AMT CREDIT - DEFERRED</t>
  </si>
  <si>
    <t xml:space="preserve">   960Z</t>
  </si>
  <si>
    <t xml:space="preserve">   960Z NOL - DEFERRED TAX ASSET RECLASS</t>
  </si>
  <si>
    <t>Tax Effect of Permanent and Flow Through Differences</t>
  </si>
  <si>
    <t>Plant (Property) , Cyber Risk, Property broker fees, Property Jurisdicitonal Certification Inspection fees,  D&amp;O Liability, Fiduciary Liability, Workers Comp Ins, Excess Liability Ins, Excess Liability broker fees.</t>
  </si>
  <si>
    <t>1650004</t>
  </si>
  <si>
    <t>Prepaid Interest</t>
  </si>
  <si>
    <t>Prepaid Oklahoma Corporate Commission Fees (OCC) and NERC Assessment Fees.Prepaid Outage Alerts Service, Prepaid AMI Advertising and promotion costs.</t>
  </si>
  <si>
    <t>AR Factoring - Excluded because it is retail.</t>
  </si>
  <si>
    <t>Prefunded Pension Expense</t>
  </si>
  <si>
    <t>Non-Cash Offset Excludable from Rate Base</t>
  </si>
  <si>
    <t>FAS 112 ASSETS</t>
  </si>
  <si>
    <t>SFAS 158 Offset</t>
  </si>
  <si>
    <t>Plant (Property) Ins and EIS Excess Liability Ins.</t>
  </si>
  <si>
    <t>Prepaid Leases</t>
  </si>
  <si>
    <t>Prepaid OCIP Work Comp-Long Term</t>
  </si>
  <si>
    <t>Prepaid OCIP Work Comp-Affiliated</t>
  </si>
  <si>
    <t>Prepaid OCIP Work Comp-Affiliated Long Term</t>
  </si>
  <si>
    <t>FAS158 Contra-PRW Exclude Med-D</t>
  </si>
  <si>
    <t xml:space="preserve">   230A</t>
  </si>
  <si>
    <t xml:space="preserve">   230A-MJE</t>
  </si>
  <si>
    <t xml:space="preserve">   230I</t>
  </si>
  <si>
    <t xml:space="preserve">   230J</t>
  </si>
  <si>
    <t xml:space="preserve">   230X</t>
  </si>
  <si>
    <t xml:space="preserve">   280H</t>
  </si>
  <si>
    <t xml:space="preserve">   295A</t>
  </si>
  <si>
    <t xml:space="preserve">   295C</t>
  </si>
  <si>
    <t xml:space="preserve">   295D</t>
  </si>
  <si>
    <t xml:space="preserve">   320A</t>
  </si>
  <si>
    <t xml:space="preserve">   380J</t>
  </si>
  <si>
    <t xml:space="preserve">   390A</t>
  </si>
  <si>
    <t xml:space="preserve">   510H</t>
  </si>
  <si>
    <t xml:space="preserve">   532A</t>
  </si>
  <si>
    <t xml:space="preserve">   532C</t>
  </si>
  <si>
    <t xml:space="preserve">   532D</t>
  </si>
  <si>
    <t xml:space="preserve">   534A</t>
  </si>
  <si>
    <t xml:space="preserve">   651A</t>
  </si>
  <si>
    <t xml:space="preserve">   711N</t>
  </si>
  <si>
    <t xml:space="preserve">   711O</t>
  </si>
  <si>
    <t xml:space="preserve">   712K</t>
  </si>
  <si>
    <t xml:space="preserve">   910K</t>
  </si>
  <si>
    <t xml:space="preserve">   930A</t>
  </si>
  <si>
    <t xml:space="preserve">   014C</t>
  </si>
  <si>
    <t xml:space="preserve">   575E</t>
  </si>
  <si>
    <t xml:space="preserve">   576E</t>
  </si>
  <si>
    <t xml:space="preserve">   605B</t>
  </si>
  <si>
    <t xml:space="preserve">   605C</t>
  </si>
  <si>
    <t xml:space="preserve">   630J</t>
  </si>
  <si>
    <t xml:space="preserve">   630M</t>
  </si>
  <si>
    <t xml:space="preserve">   632U</t>
  </si>
  <si>
    <t xml:space="preserve">   638A</t>
  </si>
  <si>
    <t xml:space="preserve">   661R</t>
  </si>
  <si>
    <t xml:space="preserve">   661S</t>
  </si>
  <si>
    <t xml:space="preserve">   661T</t>
  </si>
  <si>
    <t xml:space="preserve">   900A</t>
  </si>
  <si>
    <t xml:space="preserve">   906A</t>
  </si>
  <si>
    <t xml:space="preserve">   906D</t>
  </si>
  <si>
    <t xml:space="preserve">   906Z</t>
  </si>
  <si>
    <t xml:space="preserve">   913Y</t>
  </si>
  <si>
    <t xml:space="preserve">   911Q</t>
  </si>
  <si>
    <t xml:space="preserve">   011C-MJE</t>
  </si>
  <si>
    <t xml:space="preserve">   615B-MJE</t>
  </si>
  <si>
    <t xml:space="preserve">   906K</t>
  </si>
  <si>
    <t xml:space="preserve">   911V-MJE</t>
  </si>
  <si>
    <t>Plant (Property ) Ins., Cyber Risk Ins, Property Broker fees, Liabliity Ins and Broker's fees.</t>
  </si>
  <si>
    <t>Prepaid Royalty Pmts to Coal Leaseholders, Stall Prepaid agreement fees &amp; NERC Assessment fees.</t>
  </si>
  <si>
    <t>Prepaid Carry Cost</t>
  </si>
  <si>
    <t>EIS Excess Liability Ins and EIS Property Ins.</t>
  </si>
  <si>
    <t>Future Wetland Credits - Long Term</t>
  </si>
  <si>
    <t>Dolet Hills Future Wetlands Credit</t>
  </si>
  <si>
    <t>9301000</t>
  </si>
  <si>
    <t>9302000</t>
  </si>
  <si>
    <t>Regulatory Commission Expense</t>
  </si>
  <si>
    <t>State Franchise Tax</t>
  </si>
  <si>
    <t>State Sales &amp; Use Tax</t>
  </si>
  <si>
    <t>Public Utility Commission fees</t>
  </si>
  <si>
    <t xml:space="preserve">NOTE 1 </t>
  </si>
  <si>
    <t>On this worksheet, "Company Records" refers to AEP's property accounting ledger.</t>
  </si>
  <si>
    <t>Company Records - Note 1</t>
  </si>
  <si>
    <r>
      <t>Stores Expense (Undistributed)</t>
    </r>
    <r>
      <rPr>
        <sz val="10"/>
        <color indexed="10"/>
        <rFont val="Arial"/>
        <family val="2"/>
      </rPr>
      <t xml:space="preserve"> - Account 163</t>
    </r>
  </si>
  <si>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</si>
  <si>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</si>
  <si>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</si>
  <si>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</si>
  <si>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</si>
  <si>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</si>
  <si>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</si>
  <si>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</si>
  <si>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</si>
  <si>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</si>
  <si>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</si>
  <si>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</si>
  <si>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</si>
  <si>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</si>
  <si>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</si>
  <si>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</si>
  <si>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</si>
  <si>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NP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</si>
  <si>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</si>
  <si>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</si>
  <si>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</si>
  <si>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 and Liabilities Approved for Recovery In Ratebase</t>
  </si>
  <si>
    <t>Total Regulatory Deferrals Included in Ratebase</t>
  </si>
  <si>
    <t>REGULATORY ASSETS</t>
  </si>
  <si>
    <t>Note: Regulatory Assets &amp; Liabilities can only be included in ratebase pursuant to a 205 filing with FERC.</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</si>
  <si>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</si>
  <si>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</si>
  <si>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</si>
  <si>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</si>
  <si>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</si>
  <si>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Proration Adjustment - WS C-3</t>
  </si>
  <si>
    <t>Average Balance before Proration</t>
  </si>
  <si>
    <t>Transmission Allocator from TCOS</t>
  </si>
  <si>
    <r>
      <t xml:space="preserve">Transmission Allocator from </t>
    </r>
    <r>
      <rPr>
        <b/>
        <sz val="10"/>
        <rFont val="Arial"/>
        <family val="2"/>
      </rPr>
      <t>TCOS</t>
    </r>
  </si>
  <si>
    <t>LA Local Franchise</t>
  </si>
  <si>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</si>
  <si>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</si>
  <si>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</si>
  <si>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</si>
  <si>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</si>
  <si>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</si>
  <si>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</si>
  <si>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A</t>
    </r>
    <r>
      <rPr>
        <sz val="12"/>
        <rFont val="Arial"/>
        <family val="2"/>
      </rPr>
      <t xml:space="preserve">  - Detailed Plant and Accumulated Depreciation Balances</t>
    </r>
  </si>
  <si>
    <r>
      <t xml:space="preserve">Transmission Asset Retirement Obligation </t>
    </r>
    <r>
      <rPr>
        <b/>
        <sz val="9"/>
        <rFont val="Arial"/>
        <family val="2"/>
      </rPr>
      <t>(Acct. 359.1)</t>
    </r>
  </si>
  <si>
    <r>
      <t xml:space="preserve">General Asset Retirement Obligation </t>
    </r>
    <r>
      <rPr>
        <b/>
        <sz val="9"/>
        <rFont val="Arial"/>
        <family val="2"/>
      </rPr>
      <t>(Acct. 399.1)</t>
    </r>
  </si>
  <si>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</si>
  <si>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</si>
  <si>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</si>
  <si>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</si>
  <si>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r>
      <t>Subtotal - Form 1, p 111.57.</t>
    </r>
    <r>
      <rPr>
        <b/>
        <strike/>
        <sz val="10"/>
        <rFont val="Arial"/>
        <family val="2"/>
      </rPr>
      <t>c</t>
    </r>
    <r>
      <rPr>
        <b/>
        <sz val="10"/>
        <rFont val="Arial"/>
        <family val="2"/>
      </rPr>
      <t xml:space="preserve">  d</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</si>
  <si>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</si>
  <si>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</si>
  <si>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</si>
  <si>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</si>
  <si>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</si>
  <si>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</si>
  <si>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</si>
  <si>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</si>
  <si>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</si>
  <si>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</si>
  <si>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</si>
  <si>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</si>
  <si>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</si>
  <si>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</si>
  <si>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</si>
  <si>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r>
      <t>State Income Tax Rate - Texas</t>
    </r>
    <r>
      <rPr>
        <strike/>
        <sz val="12"/>
        <color indexed="10"/>
        <rFont val="Arial"/>
        <family val="2"/>
      </rPr>
      <t/>
    </r>
  </si>
  <si>
    <t>Taxable Percentage of Revenue</t>
  </si>
  <si>
    <t>Texas Gross Margin Tax Rate</t>
  </si>
  <si>
    <t>Account 221 Bonds (112.18.c&amp;d)</t>
  </si>
  <si>
    <t>Less: Account 222 Reacquired Bonds (112.19.c&amp;d)</t>
  </si>
  <si>
    <t>Account 223 LT Advances from Assoc. Comp.  (112.20.c&amp;d)</t>
  </si>
  <si>
    <t>Account 224 Senior Unsecured Notes (112.21.c&amp;d)</t>
  </si>
  <si>
    <t>Amort of Debt Discount &amp; Expense - Acct 428 (117.63.c)</t>
  </si>
  <si>
    <t>Amort of Loss on Reacquired Debt - Acct 428.1 (117.64.c)</t>
  </si>
  <si>
    <t>Less: Amort of Premium on Debt - Acct 429 (117.65.c)</t>
  </si>
  <si>
    <t>Less: Amort of Gain on Reacquired Debt - Acct 429.1 (117.66.c)</t>
  </si>
  <si>
    <t>Annual Interest Expense</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</si>
  <si>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</si>
  <si>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</si>
  <si>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</si>
  <si>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Total Long-Term Debt</t>
  </si>
  <si>
    <t>Less: Non-Transmission Securitization (Co. Records)</t>
  </si>
  <si>
    <t>Less: Non-Trans. Securitization (Company Records)</t>
  </si>
  <si>
    <t>PSO (2)</t>
  </si>
  <si>
    <t>SWEPCO excl Valley (2)</t>
  </si>
  <si>
    <t>AECC (3)</t>
  </si>
  <si>
    <t>AECC-MISO</t>
  </si>
  <si>
    <t>WFEC (3)</t>
  </si>
  <si>
    <t>OMPA (3)</t>
  </si>
  <si>
    <t>OG&amp;E - ATOKA (3)</t>
  </si>
  <si>
    <t>OG&amp;E _ COALGATE (3)</t>
  </si>
  <si>
    <t>OG&amp;E - TALL BEAR (3)</t>
  </si>
  <si>
    <t>ETEC (3)</t>
  </si>
  <si>
    <t>GREENBELT (3)</t>
  </si>
  <si>
    <t>LIGHTHOUSE (3)</t>
  </si>
  <si>
    <t>BENTONVILLE, AR (3)</t>
  </si>
  <si>
    <t>PRESCOTT, AR (3)</t>
  </si>
  <si>
    <t>MINDEN, LA (3)</t>
  </si>
  <si>
    <t>HOPE, AR (3)</t>
  </si>
  <si>
    <t>COFFEYVILLE, KS (3)</t>
  </si>
  <si>
    <t>SWEPCO - VALLEY</t>
  </si>
  <si>
    <t>PSO Native Load (2) (4)</t>
  </si>
  <si>
    <t>GRDA load on PSO no longer used as of Dec 2015 (5)</t>
  </si>
  <si>
    <t>SWEPCO Native Load (2)(5)</t>
  </si>
  <si>
    <t>Less: VALLEY</t>
  </si>
  <si>
    <t xml:space="preserve">NOTES:  </t>
  </si>
  <si>
    <t xml:space="preserve"> (1) Amounts are MW at the time of the AEP-SPP Internal (MLR) Peak</t>
  </si>
  <si>
    <t xml:space="preserve"> (2) At the generator, includes transmission losses.</t>
  </si>
  <si>
    <t xml:space="preserve"> (3) At the generator. Transmission losses added to metered values which include appropriate dist.&amp; xfmr losses.</t>
  </si>
  <si>
    <t>[4] PSO Native load includes PSO load on GRDA</t>
  </si>
  <si>
    <t xml:space="preserve"> (5) SWEPCO Native Load includes Valley</t>
  </si>
  <si>
    <t>Add: Transmission Serving Generation</t>
  </si>
  <si>
    <t>Company Records</t>
  </si>
  <si>
    <t>Formula Production Plant In Service</t>
  </si>
  <si>
    <t>Less: Transmission Serving Generation</t>
  </si>
  <si>
    <t>Formula Transmission Plant In Service</t>
  </si>
  <si>
    <t>Less: Transmission Serving Generation ARO</t>
  </si>
  <si>
    <t>Add: Transmission Serving Generation ARO</t>
  </si>
  <si>
    <t>Formula Production ARO</t>
  </si>
  <si>
    <t>Formula Transmission ARO</t>
  </si>
  <si>
    <t xml:space="preserve">     Less: Transmission Serving Generation</t>
  </si>
  <si>
    <t>U</t>
  </si>
  <si>
    <t>(Note U) Company Records</t>
  </si>
  <si>
    <t xml:space="preserve">  Includable Transmission </t>
  </si>
  <si>
    <t>Non-Allocable Taxes, incl. Transmission Serving Gen.</t>
  </si>
  <si>
    <t>230A</t>
  </si>
  <si>
    <t>230I</t>
  </si>
  <si>
    <t>230J</t>
  </si>
  <si>
    <t>230X</t>
  </si>
  <si>
    <t>234Q</t>
  </si>
  <si>
    <t>260A</t>
  </si>
  <si>
    <t>280H</t>
  </si>
  <si>
    <t>295A</t>
  </si>
  <si>
    <t>295C</t>
  </si>
  <si>
    <t>295D</t>
  </si>
  <si>
    <t>320A</t>
  </si>
  <si>
    <t>380J</t>
  </si>
  <si>
    <t>390A</t>
  </si>
  <si>
    <t>510H</t>
  </si>
  <si>
    <t>532A</t>
  </si>
  <si>
    <t>532C</t>
  </si>
  <si>
    <t>532D</t>
  </si>
  <si>
    <t>534A</t>
  </si>
  <si>
    <t>662A</t>
  </si>
  <si>
    <t>662B</t>
  </si>
  <si>
    <t>680A</t>
  </si>
  <si>
    <t>710W</t>
  </si>
  <si>
    <t>711N</t>
  </si>
  <si>
    <t>711O</t>
  </si>
  <si>
    <t>712K</t>
  </si>
  <si>
    <t>910J</t>
  </si>
  <si>
    <t>910K</t>
  </si>
  <si>
    <t>910W</t>
  </si>
  <si>
    <t>960F-XS</t>
  </si>
  <si>
    <t>575E</t>
  </si>
  <si>
    <t>575E-MJE</t>
  </si>
  <si>
    <t>576E</t>
  </si>
  <si>
    <t>605B</t>
  </si>
  <si>
    <t>605C</t>
  </si>
  <si>
    <t>630J</t>
  </si>
  <si>
    <t>630M</t>
  </si>
  <si>
    <t>632U</t>
  </si>
  <si>
    <t>638A</t>
  </si>
  <si>
    <t>660A</t>
  </si>
  <si>
    <t>660F</t>
  </si>
  <si>
    <t>661R</t>
  </si>
  <si>
    <t>661S</t>
  </si>
  <si>
    <t>661T</t>
  </si>
  <si>
    <t>664A</t>
  </si>
  <si>
    <t>664R</t>
  </si>
  <si>
    <t>664S</t>
  </si>
  <si>
    <t>664U</t>
  </si>
  <si>
    <t>664V</t>
  </si>
  <si>
    <t>664X</t>
  </si>
  <si>
    <t>668P</t>
  </si>
  <si>
    <t>669X</t>
  </si>
  <si>
    <t>669Y</t>
  </si>
  <si>
    <t>670O</t>
  </si>
  <si>
    <t>672P</t>
  </si>
  <si>
    <t>673J</t>
  </si>
  <si>
    <t>673K</t>
  </si>
  <si>
    <t>900A</t>
  </si>
  <si>
    <t>900F</t>
  </si>
  <si>
    <t>906A</t>
  </si>
  <si>
    <t>906D</t>
  </si>
  <si>
    <t>906K</t>
  </si>
  <si>
    <t>906Z</t>
  </si>
  <si>
    <t>913Y</t>
  </si>
  <si>
    <t>921A</t>
  </si>
  <si>
    <t>930A</t>
  </si>
  <si>
    <t>940K</t>
  </si>
  <si>
    <t>911Q-DSIT</t>
  </si>
  <si>
    <t>DSIT ENTRY - NORMALIZED</t>
  </si>
  <si>
    <t xml:space="preserve">   615E</t>
  </si>
  <si>
    <t xml:space="preserve">   911Q-DSIT</t>
  </si>
  <si>
    <t xml:space="preserve">   911S</t>
  </si>
  <si>
    <t>Transmission M&amp;S, Excl Trans Serving Gen</t>
  </si>
  <si>
    <t xml:space="preserve">Functional ARO investment and accumulated depreciation balances shown below are included in the total functional balances shown here. </t>
  </si>
  <si>
    <t xml:space="preserve">Costs specifically incurred to build, operate, maintain, or depreciate assets which are dedicated to the interconnection of individual generation resources to the SPP transmission network, including generation tie-lines, are deemed to be production-related will be removed from the transmission cost of service. Such costs, referred to herein as Transmission Serving Generation, will be reported in the FERC Form 1 in Transmission functional accounts, and thus adjustments are needed to remove those costs from line items which include them. </t>
  </si>
  <si>
    <t xml:space="preserve">   230A ACRS BENEFIT NORMALIZED, EXCLUDING TSG</t>
  </si>
  <si>
    <t>Ad Valorum for Transmission Serving Generation</t>
  </si>
  <si>
    <t>Oklahoma Ad Valorum, excluding Trans Serving Generation</t>
  </si>
  <si>
    <t>Other Taxes for Transmission Serving Generation</t>
  </si>
  <si>
    <t>PUBLIC SERVICE COMPANY OF OKLAHOMA</t>
  </si>
  <si>
    <t>SUN Series I 4.4% Financial Hedge (p. 257.1 Ln 7.i)</t>
  </si>
  <si>
    <t>SUN Series F 6.15% Financial Hedge (p. 256.1 Ln 15.i)</t>
  </si>
  <si>
    <t>Texas Ad Valorum  and Personal Property</t>
  </si>
  <si>
    <t>Ok State Franchise Tax</t>
  </si>
  <si>
    <t>Ok  Sales &amp; Use Taxes</t>
  </si>
  <si>
    <t>Ok Local Franchise Tax - 2016</t>
  </si>
  <si>
    <t xml:space="preserve">Ok Lsd PP Tax </t>
  </si>
  <si>
    <t>State License Fee</t>
  </si>
  <si>
    <t>Tx Sales &amp; Use Taxes</t>
  </si>
  <si>
    <t>Unemployement TX - 015</t>
  </si>
  <si>
    <t xml:space="preserve">TX Lsd PP Tax </t>
  </si>
  <si>
    <t>Ok Misc Tax</t>
  </si>
  <si>
    <t>MT Misc Tax</t>
  </si>
  <si>
    <t>Wy Misc Tax</t>
  </si>
  <si>
    <t>State Gross Receipts/OH CAT Tax</t>
  </si>
  <si>
    <t>Public Service Commission Fees</t>
  </si>
  <si>
    <r>
      <t xml:space="preserve">State Income Tax Rate - </t>
    </r>
    <r>
      <rPr>
        <strike/>
        <sz val="12"/>
        <color indexed="10"/>
        <rFont val="Arial"/>
        <family val="2"/>
      </rPr>
      <t/>
    </r>
  </si>
  <si>
    <t xml:space="preserve">State Income Tax Rate - </t>
  </si>
  <si>
    <t>Prepaid Carry Cost-Factored</t>
  </si>
  <si>
    <t>Trinity Rail Car Lease - Non-current</t>
  </si>
  <si>
    <t xml:space="preserve">   210E</t>
  </si>
  <si>
    <t xml:space="preserve">   210E LIBERALIZED DEPR-ELIG DFL</t>
  </si>
  <si>
    <t xml:space="preserve">   230G</t>
  </si>
  <si>
    <t xml:space="preserve">   230G ACRS-ACCRUED BK REMOVAL COSTS</t>
  </si>
  <si>
    <t xml:space="preserve">   630R</t>
  </si>
  <si>
    <t xml:space="preserve">   630R ACCRD ENERGY CONSERV EXPEND</t>
  </si>
  <si>
    <t xml:space="preserve">   710T</t>
  </si>
  <si>
    <t xml:space="preserve">   710T AMORT CHELSEA MUN AUTH-TX</t>
  </si>
  <si>
    <t xml:space="preserve">   710U</t>
  </si>
  <si>
    <t xml:space="preserve">   710U CHELSEA ACQUSITON ADJ-25 YR TX</t>
  </si>
  <si>
    <t xml:space="preserve">   710V</t>
  </si>
  <si>
    <t xml:space="preserve">   710V PLANT ACQUSITION ADJ-CSIAP-TX</t>
  </si>
  <si>
    <t xml:space="preserve">   910N</t>
  </si>
  <si>
    <t xml:space="preserve">   910N ACCRUED BK REMOVAL COST - ACRS</t>
  </si>
  <si>
    <t xml:space="preserve">   930J</t>
  </si>
  <si>
    <t xml:space="preserve">   930J PROV FOR WRITEDOWN OF INVEST</t>
  </si>
  <si>
    <t xml:space="preserve">   940I</t>
  </si>
  <si>
    <t xml:space="preserve">   940I 1985-1987 IRS AUDIT SETTLEMENT</t>
  </si>
  <si>
    <t xml:space="preserve">   014A</t>
  </si>
  <si>
    <t xml:space="preserve">   014A-DSITC ADSITC STATE C/F-DEF STATE TAX ASSET-L/T</t>
  </si>
  <si>
    <t xml:space="preserve">   533I</t>
  </si>
  <si>
    <t xml:space="preserve">   533I INDIAN RESERVATION SECTION 481a ADJUSTMENT</t>
  </si>
  <si>
    <t xml:space="preserve">   612E</t>
  </si>
  <si>
    <t xml:space="preserve">   612E ACCRUED RAIL SETTLEMENT - BNFS</t>
  </si>
  <si>
    <t xml:space="preserve">   660M</t>
  </si>
  <si>
    <t xml:space="preserve">   660M REG ASSET-CARRY COST ON STRANDED COST</t>
  </si>
  <si>
    <t xml:space="preserve">   660N</t>
  </si>
  <si>
    <t xml:space="preserve">   660N REG ASSET-DEFD CARRY COST ON STRANDED COST </t>
  </si>
  <si>
    <t xml:space="preserve">   660R</t>
  </si>
  <si>
    <t xml:space="preserve">   660R REG ASSET-DEFD ACCR VEGETATION MGT EXPENSE</t>
  </si>
  <si>
    <t xml:space="preserve">   661V</t>
  </si>
  <si>
    <t xml:space="preserve">   661V REG ASSET-RED ROCK FACILITY</t>
  </si>
  <si>
    <t xml:space="preserve">   663C</t>
  </si>
  <si>
    <t xml:space="preserve">   663C REG ASSET-GENERATION MAINTENANCE EXP</t>
  </si>
  <si>
    <t xml:space="preserve">   664E</t>
  </si>
  <si>
    <t xml:space="preserve">   664E REG ASSET-NON-AMI METERS</t>
  </si>
  <si>
    <t xml:space="preserve">   664F</t>
  </si>
  <si>
    <t xml:space="preserve">   664F REG ASSET-NON-AMI METERS - AMORT</t>
  </si>
  <si>
    <t xml:space="preserve">   665G</t>
  </si>
  <si>
    <t xml:space="preserve">   665G REG ASSET-UND/REC PSO BPF</t>
  </si>
  <si>
    <t xml:space="preserve">   669B</t>
  </si>
  <si>
    <t xml:space="preserve">   669B REG ASSET-DEFERRED SRR RIDER EXPENSES</t>
  </si>
  <si>
    <t xml:space="preserve">   673H</t>
  </si>
  <si>
    <t xml:space="preserve">   673H REG ASSET-NE3/COMANCHE ENVIRON DEF  </t>
  </si>
  <si>
    <t xml:space="preserve">   673I</t>
  </si>
  <si>
    <t xml:space="preserve">   673I REG ASSET-NE3/COMANCHE ENVIRON-CONTRA</t>
  </si>
  <si>
    <t xml:space="preserve">   960X</t>
  </si>
  <si>
    <t xml:space="preserve">   960X STATE NOL CURRENT BENEFIT</t>
  </si>
  <si>
    <t xml:space="preserve">   014A ACCUM DITC-STATE-A/C 2550002</t>
  </si>
  <si>
    <t xml:space="preserve">   433F</t>
  </si>
  <si>
    <t xml:space="preserve">   433F PSO-FUEL O/U RECOVERY-WSLE</t>
  </si>
  <si>
    <t xml:space="preserve">   613Y</t>
  </si>
  <si>
    <t xml:space="preserve">   613Y ACCRUED BK SEVERANCE BENEFITS</t>
  </si>
  <si>
    <t xml:space="preserve">   663U</t>
  </si>
  <si>
    <t xml:space="preserve">   663U REG ASSET-DEFERRED BASE LOAD PUR PWR</t>
  </si>
  <si>
    <t xml:space="preserve">   712P</t>
  </si>
  <si>
    <t xml:space="preserve">   712P PROF SERVICES CAPITALIZED-TX</t>
  </si>
  <si>
    <t xml:space="preserve">   014A-MJE</t>
  </si>
  <si>
    <t xml:space="preserve">   014A ACCUM DITC-STATE-A/C 2550002-MJE</t>
  </si>
  <si>
    <t>P.001</t>
  </si>
  <si>
    <t>PSO</t>
  </si>
  <si>
    <t>Riverside-Glenpool (81-523) Reconductor</t>
  </si>
  <si>
    <t>P.002</t>
  </si>
  <si>
    <t>Craig Jct. to Broken Bow Dam 138 Rebuild (7.7mi)</t>
  </si>
  <si>
    <t>P.003</t>
  </si>
  <si>
    <t>WFEC New 138 kV Ties: Sayre to Erick (WFEC) Line &amp; Atoka and Tupelo station work</t>
  </si>
  <si>
    <t>P.004</t>
  </si>
  <si>
    <t>Cache-Snyder to Altus Jct. 138 kV line (w/2 ring bus stations)</t>
  </si>
  <si>
    <t>P.005</t>
  </si>
  <si>
    <t>Catoosa 138 kV Device (Cap. Bank)</t>
  </si>
  <si>
    <t>P.006</t>
  </si>
  <si>
    <t>Pryor Junction 138/69 Upgrade Transf</t>
  </si>
  <si>
    <t>P.007</t>
  </si>
  <si>
    <t>Elk City - Elk City 69 kV line (CT Upgrades)*</t>
  </si>
  <si>
    <t>P.008</t>
  </si>
  <si>
    <t>Weleetka &amp; Okmulgee Wavetrap replacement 81-805*</t>
  </si>
  <si>
    <t>P.009</t>
  </si>
  <si>
    <t>Tulsa Southeast Upgrade (repl switches)*</t>
  </si>
  <si>
    <t>P.010</t>
  </si>
  <si>
    <t>Wavetrap Clinton City-Foss Tap 69kV Ckt 1*</t>
  </si>
  <si>
    <t>P.011</t>
  </si>
  <si>
    <t>Bartlesville SE to Coffeyville T Rebuild</t>
  </si>
  <si>
    <t>P.012</t>
  </si>
  <si>
    <t>Canadian River - McAlester City 138 kV Line Conversion</t>
  </si>
  <si>
    <t>P.013</t>
  </si>
  <si>
    <t>CoffeyvilleT to Dearing 138 kv Rebuild - 1.1 mi*</t>
  </si>
  <si>
    <t>P.014</t>
  </si>
  <si>
    <t>Ashdown West - Craig Junction</t>
  </si>
  <si>
    <t>P.015</t>
  </si>
  <si>
    <t>Locust Grove to Lone Star 115 kV Rebuild 2.1 miles</t>
  </si>
  <si>
    <t>P.016</t>
  </si>
  <si>
    <t>Cornville Station Conversion</t>
  </si>
  <si>
    <t>P.017</t>
  </si>
  <si>
    <t>Grady Customer Connection</t>
  </si>
  <si>
    <t>P.018</t>
  </si>
  <si>
    <t>Darlington-Red Rock 138 kV line</t>
  </si>
  <si>
    <t>P.019</t>
  </si>
  <si>
    <t>P.020</t>
  </si>
  <si>
    <t>Sayre 138 kV Capacitor Bank Addition</t>
  </si>
  <si>
    <t>P.021</t>
  </si>
  <si>
    <t>Darlington-Roman Nose 138 kV</t>
  </si>
  <si>
    <t>P.022</t>
  </si>
  <si>
    <t>Northeastern Station 138 kV Terminal Upgrades</t>
  </si>
  <si>
    <t>PSO Total</t>
  </si>
  <si>
    <t>*&lt;$100K investment</t>
  </si>
  <si>
    <r>
      <t>Stores Expense (Undistributed)</t>
    </r>
    <r>
      <rPr>
        <sz val="10"/>
        <color indexed="10"/>
        <rFont val="Arial"/>
        <family val="2"/>
      </rPr>
      <t xml:space="preserve"> - Account 163</t>
    </r>
  </si>
  <si>
    <r>
      <t xml:space="preserve">Expense reported for these A&amp;G accounts will be included in the cost of service only to the extent they are directly assignable or allocable to transmission service. Worksheet </t>
    </r>
    <r>
      <rPr>
        <sz val="12"/>
        <rFont val="Arial"/>
        <family val="2"/>
      </rPr>
      <t>J allocates</t>
    </r>
  </si>
  <si>
    <r>
      <t xml:space="preserve">The gross plant, accumulated depreciation, and deferred tax balances included in rate base and depreciation expense are reduced by the removal of </t>
    </r>
    <r>
      <rPr>
        <sz val="12"/>
        <rFont val="Arial"/>
        <family val="2"/>
      </rPr>
      <t>amounts related to Asset Retirement Obligations  (AROs). This is to comply with the requirements of FERC Rulemaking RM02-7-000.</t>
    </r>
  </si>
  <si>
    <r>
      <t xml:space="preserve">expenses incurred by the transmission function for Associated Business Development revenues given as a credit to the TCOS on Worksheet </t>
    </r>
    <r>
      <rPr>
        <sz val="12"/>
        <rFont val="Arial"/>
        <family val="2"/>
      </rPr>
      <t>H.</t>
    </r>
  </si>
  <si>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</si>
  <si>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</si>
  <si>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r>
      <t xml:space="preserve">included as revenue credits.   See Worksheet </t>
    </r>
    <r>
      <rPr>
        <sz val="12"/>
        <rFont val="Arial"/>
        <family val="2"/>
      </rPr>
      <t>H for details.</t>
    </r>
  </si>
  <si>
    <t xml:space="preserve">SPP Zone 1 Actual/ Projected AEP Revenue Requirements </t>
  </si>
  <si>
    <t>Company Records (Note O)</t>
  </si>
  <si>
    <r>
      <t>336.7.</t>
    </r>
    <r>
      <rPr>
        <sz val="12"/>
        <rFont val="Arial"/>
        <family val="2"/>
      </rPr>
      <t>b</t>
    </r>
  </si>
  <si>
    <r>
      <t>336.10.</t>
    </r>
    <r>
      <rPr>
        <sz val="12"/>
        <rFont val="Arial"/>
        <family val="2"/>
      </rPr>
      <t>b</t>
    </r>
  </si>
  <si>
    <t>336.1.d</t>
  </si>
  <si>
    <t>General Plant and Administrative &amp; General expenses may be functionalized based on allocators other than the W/S allocator.  Full documentation must be provided.</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</si>
  <si>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t>
  </si>
  <si>
    <t xml:space="preserve">       Taxable Percentage of Revenue</t>
  </si>
  <si>
    <t>column to left (Q).</t>
  </si>
  <si>
    <t>output is put into the interest</t>
  </si>
  <si>
    <t>Do NOT delete.</t>
  </si>
  <si>
    <t>calculation engine and its</t>
  </si>
  <si>
    <r>
      <t xml:space="preserve">   DO </t>
    </r>
    <r>
      <rPr>
        <b/>
        <sz val="10"/>
        <color indexed="10"/>
        <rFont val="Arial"/>
        <family val="2"/>
      </rPr>
      <t>NOT</t>
    </r>
    <r>
      <rPr>
        <b/>
        <sz val="10"/>
        <rFont val="Arial"/>
        <family val="2"/>
      </rPr>
      <t xml:space="preserve"> delete this row or the formulas above will not work.</t>
    </r>
  </si>
  <si>
    <t>N$88</t>
  </si>
  <si>
    <t>N$87</t>
  </si>
  <si>
    <t>M$89</t>
  </si>
  <si>
    <t>$N$7</t>
  </si>
  <si>
    <t>$N$5</t>
  </si>
  <si>
    <t>D$11</t>
  </si>
  <si>
    <t>$D$7</t>
  </si>
  <si>
    <t>from WS-F &amp; G</t>
  </si>
  <si>
    <t>is used to feed interest</t>
  </si>
  <si>
    <t>Indirect References</t>
  </si>
  <si>
    <t>the column above</t>
  </si>
  <si>
    <t>*&lt;$100K investment,</t>
  </si>
  <si>
    <t xml:space="preserve"> &lt;--- this value goes to sched 11 interest support file line 18</t>
  </si>
  <si>
    <t>IPC 138 KV Capacitor Bank Addtion</t>
  </si>
  <si>
    <t>S.071</t>
  </si>
  <si>
    <t>Linwood - South Shreveport 138 KV Line Rebuild</t>
  </si>
  <si>
    <t>S.070</t>
  </si>
  <si>
    <t>Hallsville - Longview Heights 69 KV Line Rebuild</t>
  </si>
  <si>
    <t>S.069</t>
  </si>
  <si>
    <t>Everside - Northwest Henderson 69KV Line Rebuild</t>
  </si>
  <si>
    <t>S.068</t>
  </si>
  <si>
    <t>Total Adjustments before Interest</t>
  </si>
  <si>
    <t>(R) = (G) + (P)</t>
  </si>
  <si>
    <t>(P) = (H)+(K)+(N)+(O)</t>
  </si>
  <si>
    <t>(N) = (L)-(M)</t>
  </si>
  <si>
    <t>(K) = (I) - (J)</t>
  </si>
  <si>
    <t>(G) = (E) + (F)</t>
  </si>
  <si>
    <t>Note: Some project's final trued-up cost may not meet SPP's $100,000 threshold for socialization.  In that case a true-up of the pirior year ARR will be made in columns (H) through (O), but no projected ARR will be shown in columns (E) through (G) for the current year.</t>
  </si>
  <si>
    <r>
      <t xml:space="preserve">Calculation of Schedule </t>
    </r>
    <r>
      <rPr>
        <sz val="12"/>
        <rFont val="Arial"/>
        <family val="2"/>
      </rPr>
      <t>11 Revenue Requirements For AEP Transmission Projects</t>
    </r>
  </si>
  <si>
    <t>AEP Transmission Formula Rate Template</t>
  </si>
  <si>
    <t>Forecast Adjustment</t>
  </si>
  <si>
    <t>Forecast Adjustment to 230A</t>
  </si>
  <si>
    <t>Forecast Adjustment to 190</t>
  </si>
  <si>
    <t>Rate Year ending balance</t>
  </si>
  <si>
    <t>Rate Year beginning balance</t>
  </si>
  <si>
    <t>Forecast Adjustment to 283</t>
  </si>
  <si>
    <t>Forecast Adjustment to 282</t>
  </si>
  <si>
    <t>Note:  Project's whose investment cost do NOT meet SPP's $100,000 threshold for 'regional' socialization are marked with an asterik "*" as SPP will only collect those ATRRs from the zone.</t>
  </si>
  <si>
    <t>(Q) = (G) + (P)</t>
  </si>
  <si>
    <t>P.023</t>
  </si>
  <si>
    <t>Elk City 138 KV Move Load</t>
  </si>
  <si>
    <t>P.024</t>
  </si>
  <si>
    <t>Fort Townson-Valliant Line Rebuild</t>
  </si>
  <si>
    <t>P.025</t>
  </si>
  <si>
    <t>Duncan-Comanche Tap 69 KV Rebuild and Duncan station upgrades</t>
  </si>
  <si>
    <t xml:space="preserve"> &lt;--- this value goes to sched 11 interest support file - line 17</t>
  </si>
  <si>
    <t>To INSERT a new project line item (row)</t>
  </si>
  <si>
    <t>0a.  Always maintain a blank row between TOTAL and last project (this maintains summing formulas in Totalization row.</t>
  </si>
  <si>
    <t>0b.   Always add and fill out new P.0xx Project Sheet(s) before inserting rows on this summary sheet.</t>
  </si>
  <si>
    <t>1.   Insert blank row(s) for new project(s) between TOTAL row and existing last project row.</t>
  </si>
  <si>
    <t>2.  Copy entire contents of last project Row, then Paste into new blank row(s), again….leave 1 blank row to maintain summing formulas.</t>
  </si>
  <si>
    <t>3.  In the SheetName column in this sheet…change the P.0xx type number(s) to match the corresponding newly added P.0xx sheets.</t>
  </si>
  <si>
    <r>
      <t xml:space="preserve">TRUE-UP Adjustment </t>
    </r>
    <r>
      <rPr>
        <sz val="10"/>
        <rFont val="Arial"/>
        <family val="2"/>
      </rPr>
      <t>(WS-G)</t>
    </r>
  </si>
  <si>
    <t>Projected ADJUSTED ARR from Prior Update</t>
  </si>
  <si>
    <r>
      <t xml:space="preserve">As Billed
by SPP
</t>
    </r>
    <r>
      <rPr>
        <sz val="10"/>
        <rFont val="Arial"/>
        <family val="2"/>
      </rPr>
      <t>(for Prior Yr
T-Service)</t>
    </r>
  </si>
  <si>
    <t>COLLECTION Adjustment</t>
  </si>
  <si>
    <t>Interest</t>
  </si>
  <si>
    <t>Total ADJUSTED Revenue Requirement Effective
1/1/2019</t>
  </si>
  <si>
    <t>Projected ARR For 2019 From WS-F</t>
  </si>
  <si>
    <t>SUN Series I 3.55% Financial Hedge (p 257.1/Ln 29)</t>
  </si>
  <si>
    <t xml:space="preserve">   533J</t>
  </si>
  <si>
    <t xml:space="preserve">   533J TX ACCEL AMORT - CAPITALIZED SOFTWARE</t>
  </si>
  <si>
    <t xml:space="preserve">   014W</t>
  </si>
  <si>
    <t xml:space="preserve">   014W-DSIT STATE CREDIT C/F-VALUATION ALLOWANCE</t>
  </si>
  <si>
    <t xml:space="preserve">   661U</t>
  </si>
  <si>
    <t xml:space="preserve">   661U REG ASSET-LAWTON SETTLEMENT</t>
  </si>
  <si>
    <t xml:space="preserve">   673S</t>
  </si>
  <si>
    <t xml:space="preserve">   673S REG ASSET-INDEPENDENT EVALUATOR DEFRL</t>
  </si>
  <si>
    <t xml:space="preserve">   673X</t>
  </si>
  <si>
    <t xml:space="preserve">   673X REG ASSET-WIND CATCHER COST RECOV</t>
  </si>
  <si>
    <t xml:space="preserve">   605P</t>
  </si>
  <si>
    <t xml:space="preserve">   605P STOCK BASED COMP-CAREER SHARES</t>
  </si>
  <si>
    <t xml:space="preserve">   980A</t>
  </si>
  <si>
    <t xml:space="preserve">   980A RESTRICTED STOCK PLAN</t>
  </si>
  <si>
    <t xml:space="preserve">   980J</t>
  </si>
  <si>
    <t xml:space="preserve">   980J PSI - STOCK BASED COMP</t>
  </si>
  <si>
    <t xml:space="preserve">   642B</t>
  </si>
  <si>
    <t xml:space="preserve">   642B DEFD REV-BONUS LEASE SHORT-TERM</t>
  </si>
  <si>
    <t xml:space="preserve">   642C</t>
  </si>
  <si>
    <t xml:space="preserve">   642C DEFD REV-BONUS LEASE LONG-TERM</t>
  </si>
  <si>
    <t>533J</t>
  </si>
  <si>
    <t xml:space="preserve">   690F REG ASSET-NBV-ARO-RETIRED PLANTS</t>
  </si>
  <si>
    <t>AECI</t>
  </si>
  <si>
    <t>165001117</t>
  </si>
  <si>
    <t>165001217</t>
  </si>
  <si>
    <t>State Income Tax Rate - Nebraska</t>
  </si>
  <si>
    <t>Tulsa Southeast - E. 61st St 138 kV Rebuild</t>
  </si>
  <si>
    <t>P.026</t>
  </si>
  <si>
    <t>Broken Arrow North-Lynn Lane East 138 kV</t>
  </si>
  <si>
    <t>P.027</t>
  </si>
  <si>
    <t>Ellerbe Road - Lucas 69 kV Rebuild</t>
  </si>
  <si>
    <t>S.072</t>
  </si>
  <si>
    <t>Siloam Springs - Siloam Springs City 161 kV Rebuild</t>
  </si>
  <si>
    <t>S.073</t>
  </si>
  <si>
    <t xml:space="preserve">   230A ACRS BENEFIT NORMALIZED</t>
  </si>
  <si>
    <t xml:space="preserve">   960F-XS</t>
  </si>
  <si>
    <t xml:space="preserve">   690F</t>
  </si>
  <si>
    <t xml:space="preserve">   674E</t>
  </si>
  <si>
    <t>011C-DFIT</t>
  </si>
  <si>
    <t>011C-MJE</t>
  </si>
  <si>
    <t>615B-MJE</t>
  </si>
  <si>
    <t>911F-FIN48</t>
  </si>
  <si>
    <t>911V</t>
  </si>
  <si>
    <t>911V-MJE</t>
  </si>
  <si>
    <t>940A</t>
  </si>
  <si>
    <t>980A</t>
  </si>
  <si>
    <t>980J</t>
  </si>
  <si>
    <t xml:space="preserve">   520X</t>
  </si>
  <si>
    <t xml:space="preserve">   520Y</t>
  </si>
  <si>
    <t xml:space="preserve">   940A</t>
  </si>
  <si>
    <t xml:space="preserve">   940A IRS AUDIT SETTLEMENT</t>
  </si>
  <si>
    <t xml:space="preserve">   520X PROV FOR RATE REFUND-TAX REFORM</t>
  </si>
  <si>
    <t xml:space="preserve">   520Y PROV FOR RATE REFUND-EXCESS PROTECTED</t>
  </si>
  <si>
    <t xml:space="preserve">   674E REG ASSET-NE U4 UNDEPRECIATED BALANCE     </t>
  </si>
  <si>
    <t xml:space="preserve">   EXCESS ADFIT 283 - UNPROTECTED-OK</t>
  </si>
  <si>
    <t xml:space="preserve">   EXCESS ADFIT 282 - PROTECTED-OK</t>
  </si>
  <si>
    <t xml:space="preserve">   EXCESS ADFIT 282 - UNPROTECTED-OK</t>
  </si>
  <si>
    <t>651I</t>
  </si>
  <si>
    <t xml:space="preserve">DISALLOWED COSTS-TX TRANS VEG MGT CST </t>
  </si>
  <si>
    <t>651J</t>
  </si>
  <si>
    <t>DISALLOWED COSTS-TX DIST VEG MGT CST</t>
  </si>
  <si>
    <t>651K</t>
  </si>
  <si>
    <t>DISALLOWED COSTS-TX TRANS VEG MGT CST-AMORT</t>
  </si>
  <si>
    <t>651M</t>
  </si>
  <si>
    <t>DISALLOWED COSTS-TX DIST VEG MGT CST-AMORT</t>
  </si>
  <si>
    <t>651Q</t>
  </si>
  <si>
    <t>DISALLOWED COSTS-TX SERP COSTS</t>
  </si>
  <si>
    <t>651R</t>
  </si>
  <si>
    <t>DISALLOWED COSTS-TX DIST COSTS</t>
  </si>
  <si>
    <t>651S</t>
  </si>
  <si>
    <t>DISALLOWED COSTS-TX GEN COSTS</t>
  </si>
  <si>
    <t>651T</t>
  </si>
  <si>
    <t>DISALLOWED COSTS-TX CWIP FINBASED INCEN-TRANS</t>
  </si>
  <si>
    <t>651W</t>
  </si>
  <si>
    <t>DISALLOWED COSTS-TX CWIP FINBASED INCEN-DIST</t>
  </si>
  <si>
    <t>651X</t>
  </si>
  <si>
    <t>DISALLOWED COSTS-TX CWIP FINBASED INCEN-GEN</t>
  </si>
  <si>
    <t>651Y</t>
  </si>
  <si>
    <t>DISALLOWED COSTS-TX RWIP FINBASED INCEN-TRANS</t>
  </si>
  <si>
    <t>651Z</t>
  </si>
  <si>
    <t>DISALLOWED COSTS-TX RWIP FINBASED INCEN-DIST</t>
  </si>
  <si>
    <t>653A</t>
  </si>
  <si>
    <t>DISALLOWED COSTS-TX RWIP FINBASED INCEN-GEN</t>
  </si>
  <si>
    <t>IRS AUDIT SETTLEMENT</t>
  </si>
  <si>
    <t>RESTRICTED STOCK PLAN</t>
  </si>
  <si>
    <t>PSI - STOCK BASED COMP</t>
  </si>
  <si>
    <t xml:space="preserve">   PROV FOR RATE REFUND-TAX REFORM</t>
  </si>
  <si>
    <t xml:space="preserve">   PROV FOR RATE REFUND-EXCESS PROTECTED</t>
  </si>
  <si>
    <t>014C-AR</t>
  </si>
  <si>
    <t>014C-LA</t>
  </si>
  <si>
    <t>014C-OK</t>
  </si>
  <si>
    <t>NOL-STATE C/F-DEF TAX ASSET-L/T - AR</t>
  </si>
  <si>
    <t>NOL-STATE C/F-DEF TAX ASSET-L/T - LA</t>
  </si>
  <si>
    <t>NOL-STATE C/F-DEF TAX ASSET-L/T - OK</t>
  </si>
  <si>
    <t>TX ACCEL AMORT - CAPITALIZED SOFTWARE</t>
  </si>
  <si>
    <t>EXCESS ADFIT 282 - PROTECTED</t>
  </si>
  <si>
    <t>EXCESS ADFIT 282 - PROTECTED-AR</t>
  </si>
  <si>
    <t>EXCESS ADFIT 282 - PROTECTED-FERC</t>
  </si>
  <si>
    <t xml:space="preserve">EXCESS ADFIT 282 - PROTECTED-LA </t>
  </si>
  <si>
    <t>EXCESS ADFIT 282 - PROTECTED-TX</t>
  </si>
  <si>
    <t>EXCESS ADFIT 282 - UNPROTECTED-AR</t>
  </si>
  <si>
    <t>EXCESS ADFIT 282 - UNPROTECTED-FERC</t>
  </si>
  <si>
    <t>EXCESS ADFIT 282 - UNPROTECTED-LA</t>
  </si>
  <si>
    <t>EXCESS ADFIT 282 - UNPROTECTED-TX</t>
  </si>
  <si>
    <t>614G</t>
  </si>
  <si>
    <t>PROV LA FUEL LITIGATION EXP</t>
  </si>
  <si>
    <t>660L</t>
  </si>
  <si>
    <t>REG ASSET-DEFERRED LITIGATION COSTS</t>
  </si>
  <si>
    <t>669J</t>
  </si>
  <si>
    <t>REG ASSET-ENERGY EFFICIENCY RECOVERY</t>
  </si>
  <si>
    <t>673U</t>
  </si>
  <si>
    <t>REG ASSET-LA 2015 FRP-SPP DEFERRAL</t>
  </si>
  <si>
    <t>673V</t>
  </si>
  <si>
    <t>REG ASSET-LA 2015 FRP-UNREC EQUITY</t>
  </si>
  <si>
    <t>673Z</t>
  </si>
  <si>
    <t>REG ASSET-WELSH 2 TX-UNDEPR BAL</t>
  </si>
  <si>
    <t>690F</t>
  </si>
  <si>
    <t>REG ASSET-NBV-ARO-RETIRED PLANTS</t>
  </si>
  <si>
    <t>711M</t>
  </si>
  <si>
    <t>AMAX COAL CONTRACT-TX</t>
  </si>
  <si>
    <t>EXCESS ADFIT 283 - UNPROTECTED-AR</t>
  </si>
  <si>
    <t>EXCESS ADFIT 283 - UNPROTECTED-FERC</t>
  </si>
  <si>
    <t>EXCESS ADFIT 283 - UNPROTECTED-LA</t>
  </si>
  <si>
    <t>EXCESS ADFIT 283 - UNPROTECTED-TX</t>
  </si>
  <si>
    <t>TAX ADJUSTMENTS</t>
  </si>
  <si>
    <t>PRIOR YEAR TRUE UP (2017 Incliuding Interest)</t>
  </si>
  <si>
    <t>12A</t>
  </si>
  <si>
    <t>12B</t>
  </si>
  <si>
    <t>RATE YEAR ZONAL ATRR (W/ INCENTIVES) INCLUDING PRIOR YEAR TRUE UP</t>
  </si>
  <si>
    <t>True Up Workpaper</t>
  </si>
  <si>
    <t>True-Up ARR  From 2017 From Worksheet G</t>
  </si>
  <si>
    <t>For Projected Year 2019</t>
  </si>
  <si>
    <t>For  Projected Year 2019</t>
  </si>
  <si>
    <t>True-Up ARR CY 2017 From Worksheet G</t>
  </si>
  <si>
    <t>As Projected in Prior Year WS F   Rev Require</t>
  </si>
  <si>
    <t>As Projected in Prior Year WS F    W Incentives</t>
  </si>
  <si>
    <t>Actual after True-up Rev Require</t>
  </si>
  <si>
    <t>Actual after True-up  W Incentives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</si>
</sst>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0.00%_);[Red]\(0.00%\)"/>
    <numFmt numFmtId="198" formatCode="_(* #,##0.00000000_);_(* \(#,##0.00000000\);_(* &quot;-&quot;??_);_(@_)"/>
    <numFmt numFmtId="199" formatCode="_(* #,##0.000000_);_(* \(#,##0.000000\);_(* &quot;-&quot;??_);_(@_)"/>
    <numFmt numFmtId="200" formatCode="General_)"/>
  </numFmts>
  <fonts count="200">
    <font>
      <sz val="10"/>
      <name val="Arial"/>
    </font>
    <font>
      <sz val="10"/>
      <name val="Arial"/>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sz val="14"/>
      <name val="Times New Roman"/>
      <family val="1"/>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trike/>
      <u/>
      <sz val="14"/>
      <name val="Arial"/>
      <family val="2"/>
    </font>
    <font>
      <b/>
      <strike/>
      <sz val="10"/>
      <name val="Arial"/>
      <family val="2"/>
    </font>
    <font>
      <b/>
      <sz val="10"/>
      <name val="Arial Narrow"/>
      <family val="2"/>
    </font>
    <font>
      <strike/>
      <sz val="10"/>
      <name val="Arial"/>
      <family val="2"/>
    </font>
    <font>
      <b/>
      <strike/>
      <u/>
      <sz val="10"/>
      <name val="Arial"/>
      <family val="2"/>
    </font>
    <font>
      <sz val="12"/>
      <name val="Times New Roman"/>
      <family val="1"/>
    </font>
    <font>
      <b/>
      <sz val="12"/>
      <name val="Arial Narrow"/>
      <family val="2"/>
    </font>
    <font>
      <b/>
      <sz val="12"/>
      <name val="Helv"/>
    </font>
    <font>
      <strike/>
      <u/>
      <sz val="10"/>
      <name val="Arial"/>
      <family val="2"/>
    </font>
    <font>
      <sz val="10"/>
      <color indexed="10"/>
      <name val="Arial"/>
      <family val="2"/>
    </font>
    <font>
      <sz val="10"/>
      <color indexed="12"/>
      <name val="Arial"/>
      <family val="2"/>
    </font>
    <font>
      <sz val="10"/>
      <color indexed="9"/>
      <name val="Arial"/>
      <family val="2"/>
    </font>
    <font>
      <sz val="14"/>
      <color indexed="12"/>
      <name val="Arial"/>
      <family val="2"/>
    </font>
    <font>
      <sz val="11"/>
      <color indexed="12"/>
      <name val="Arial"/>
      <family val="2"/>
    </font>
    <font>
      <b/>
      <i/>
      <sz val="10"/>
      <name val="Arial"/>
      <family val="2"/>
    </font>
    <font>
      <b/>
      <strike/>
      <sz val="14"/>
      <name val="Arial"/>
      <family val="2"/>
    </font>
    <font>
      <strike/>
      <sz val="12"/>
      <color indexed="10"/>
      <name val="Arial"/>
      <family val="2"/>
    </font>
    <font>
      <b/>
      <strike/>
      <u/>
      <sz val="12"/>
      <name val="Arial"/>
      <family val="2"/>
    </font>
    <font>
      <sz val="11"/>
      <color indexed="8"/>
      <name val="Calibri"/>
      <family val="2"/>
    </font>
    <font>
      <b/>
      <sz val="8"/>
      <color indexed="81"/>
      <name val="Tahoma"/>
      <family val="2"/>
    </font>
    <font>
      <sz val="8"/>
      <color indexed="81"/>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9"/>
      <color indexed="81"/>
      <name val="Tahoma"/>
      <family val="2"/>
    </font>
    <font>
      <b/>
      <sz val="9"/>
      <color indexed="81"/>
      <name val="Tahoma"/>
      <family val="2"/>
    </font>
    <font>
      <sz val="10"/>
      <color indexed="8"/>
      <name val="Calibri"/>
      <family val="2"/>
    </font>
    <font>
      <sz val="9"/>
      <color indexed="12"/>
      <name val="Arial"/>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0"/>
      <color indexed="10"/>
      <name val="Arial"/>
      <family val="2"/>
    </font>
    <font>
      <sz val="14"/>
      <color indexed="10"/>
      <name val="Arial"/>
      <family val="2"/>
    </font>
    <font>
      <sz val="10"/>
      <color indexed="12"/>
      <name val="Arial"/>
      <family val="2"/>
    </font>
    <font>
      <b/>
      <sz val="10"/>
      <color indexed="10"/>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color indexed="10"/>
      <name val="Times New Roman"/>
      <family val="1"/>
    </font>
    <font>
      <sz val="10"/>
      <name val="Arial"/>
      <family val="2"/>
    </font>
    <font>
      <sz val="10"/>
      <name val="Arial"/>
      <family val="2"/>
    </font>
    <font>
      <b/>
      <sz val="12"/>
      <color indexed="12"/>
      <name val="Arial"/>
      <family val="2"/>
    </font>
    <font>
      <sz val="10"/>
      <color indexed="13"/>
      <name val="Arial"/>
      <family val="2"/>
    </font>
    <font>
      <i/>
      <sz val="8"/>
      <color indexed="81"/>
      <name val="Tahoma"/>
      <family val="2"/>
    </font>
    <font>
      <b/>
      <i/>
      <sz val="10"/>
      <color indexed="10"/>
      <name val="Arial"/>
      <family val="2"/>
    </font>
    <font>
      <sz val="8"/>
      <color indexed="10"/>
      <name val="Arial"/>
      <family val="2"/>
    </font>
    <font>
      <sz val="11"/>
      <color indexed="8"/>
      <name val="Calibri"/>
      <family val="2"/>
    </font>
    <font>
      <b/>
      <sz val="15"/>
      <color indexed="56"/>
      <name val="Calibri"/>
      <family val="2"/>
    </font>
    <font>
      <b/>
      <sz val="13"/>
      <color indexed="56"/>
      <name val="Calibri"/>
      <family val="2"/>
    </font>
    <font>
      <b/>
      <sz val="11"/>
      <color indexed="8"/>
      <name val="Calibri"/>
      <family val="2"/>
    </font>
    <font>
      <sz val="11"/>
      <color indexed="8"/>
      <name val="Calibri"/>
      <family val="2"/>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3"/>
      <color indexed="62"/>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sz val="10"/>
      <color indexed="10"/>
      <name val="Century Schoolbook"/>
      <family val="2"/>
    </font>
    <font>
      <sz val="16"/>
      <name val="Arial"/>
      <family val="2"/>
    </font>
    <font>
      <sz val="11"/>
      <color indexed="8"/>
      <name val="Calibri"/>
      <family val="2"/>
    </font>
    <font>
      <sz val="10"/>
      <name val="Arial"/>
      <family val="2"/>
    </font>
    <font>
      <sz val="10"/>
      <name val="Arial"/>
      <family val="2"/>
    </font>
    <font>
      <sz val="10"/>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font>
    <font>
      <b/>
      <sz val="18"/>
      <color theme="3"/>
      <name val="Cambria"/>
      <family val="2"/>
      <scheme val="major"/>
    </font>
    <font>
      <b/>
      <sz val="11"/>
      <color theme="1"/>
      <name val="Calibri"/>
      <family val="2"/>
      <scheme val="minor"/>
    </font>
    <font>
      <sz val="11"/>
      <color rgb="FFFF0000"/>
      <name val="Calibri"/>
      <family val="2"/>
      <scheme val="minor"/>
    </font>
    <font>
      <sz val="10"/>
      <color rgb="FF0033CC"/>
      <name val="Arial"/>
      <family val="2"/>
    </font>
  </fonts>
  <fills count="66">
    <fill>
      <patternFill patternType="none"/>
    </fill>
    <fill>
      <patternFill patternType="gray125"/>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3"/>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4"/>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s>
  <borders count="7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3"/>
      </bottom>
      <diagonal/>
    </border>
    <border>
      <left/>
      <right/>
      <top/>
      <bottom style="medium">
        <color indexed="30"/>
      </bottom>
      <diagonal/>
    </border>
    <border>
      <left/>
      <right/>
      <top/>
      <bottom style="medium">
        <color indexed="49"/>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062">
    <xf numFmtId="0" fontId="0" fillId="0" borderId="0"/>
    <xf numFmtId="0" fontId="23"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2" borderId="0" applyNumberFormat="0" applyBorder="0" applyAlignment="0" applyProtection="0"/>
    <xf numFmtId="0" fontId="94" fillId="3" borderId="0" applyNumberFormat="0" applyBorder="0" applyAlignment="0" applyProtection="0"/>
    <xf numFmtId="0" fontId="180" fillId="34" borderId="0" applyNumberFormat="0" applyBorder="0" applyAlignment="0" applyProtection="0"/>
    <xf numFmtId="0" fontId="180" fillId="34" borderId="0" applyNumberFormat="0" applyBorder="0" applyAlignment="0" applyProtection="0"/>
    <xf numFmtId="0" fontId="94" fillId="3" borderId="0" applyNumberFormat="0" applyBorder="0" applyAlignment="0" applyProtection="0"/>
    <xf numFmtId="0" fontId="23" fillId="2" borderId="0" applyNumberFormat="0" applyBorder="0" applyAlignment="0" applyProtection="0"/>
    <xf numFmtId="0" fontId="94" fillId="2" borderId="0" applyNumberFormat="0" applyBorder="0" applyAlignment="0" applyProtection="0"/>
    <xf numFmtId="0" fontId="180" fillId="34" borderId="0" applyNumberFormat="0" applyBorder="0" applyAlignment="0" applyProtection="0"/>
    <xf numFmtId="0" fontId="94" fillId="3"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155" fillId="2" borderId="0" applyNumberFormat="0" applyBorder="0" applyAlignment="0" applyProtection="0"/>
    <xf numFmtId="0" fontId="23" fillId="2" borderId="0" applyNumberFormat="0" applyBorder="0" applyAlignment="0" applyProtection="0"/>
    <xf numFmtId="0" fontId="23"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180" fillId="35" borderId="0" applyNumberFormat="0" applyBorder="0" applyAlignment="0" applyProtection="0"/>
    <xf numFmtId="0" fontId="180" fillId="35" borderId="0" applyNumberFormat="0" applyBorder="0" applyAlignment="0" applyProtection="0"/>
    <xf numFmtId="0" fontId="94" fillId="4" borderId="0" applyNumberFormat="0" applyBorder="0" applyAlignment="0" applyProtection="0"/>
    <xf numFmtId="0" fontId="23" fillId="4" borderId="0" applyNumberFormat="0" applyBorder="0" applyAlignment="0" applyProtection="0"/>
    <xf numFmtId="0" fontId="94" fillId="4" borderId="0" applyNumberFormat="0" applyBorder="0" applyAlignment="0" applyProtection="0"/>
    <xf numFmtId="0" fontId="180" fillId="35" borderId="0" applyNumberFormat="0" applyBorder="0" applyAlignment="0" applyProtection="0"/>
    <xf numFmtId="0" fontId="155"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180" fillId="36" borderId="0" applyNumberFormat="0" applyBorder="0" applyAlignment="0" applyProtection="0"/>
    <xf numFmtId="0" fontId="180" fillId="36" borderId="0" applyNumberFormat="0" applyBorder="0" applyAlignment="0" applyProtection="0"/>
    <xf numFmtId="0" fontId="94" fillId="6" borderId="0" applyNumberFormat="0" applyBorder="0" applyAlignment="0" applyProtection="0"/>
    <xf numFmtId="0" fontId="23" fillId="5" borderId="0" applyNumberFormat="0" applyBorder="0" applyAlignment="0" applyProtection="0"/>
    <xf numFmtId="0" fontId="94" fillId="5" borderId="0" applyNumberFormat="0" applyBorder="0" applyAlignment="0" applyProtection="0"/>
    <xf numFmtId="0" fontId="180" fillId="36" borderId="0" applyNumberFormat="0" applyBorder="0" applyAlignment="0" applyProtection="0"/>
    <xf numFmtId="0" fontId="94" fillId="6"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155" fillId="5"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3" borderId="0" applyNumberFormat="0" applyBorder="0" applyAlignment="0" applyProtection="0"/>
    <xf numFmtId="0" fontId="94" fillId="7" borderId="0" applyNumberFormat="0" applyBorder="0" applyAlignment="0" applyProtection="0"/>
    <xf numFmtId="0" fontId="94" fillId="3" borderId="0" applyNumberFormat="0" applyBorder="0" applyAlignment="0" applyProtection="0"/>
    <xf numFmtId="0" fontId="180" fillId="37" borderId="0" applyNumberFormat="0" applyBorder="0" applyAlignment="0" applyProtection="0"/>
    <xf numFmtId="0" fontId="180" fillId="37" borderId="0" applyNumberFormat="0" applyBorder="0" applyAlignment="0" applyProtection="0"/>
    <xf numFmtId="0" fontId="94" fillId="3" borderId="0" applyNumberFormat="0" applyBorder="0" applyAlignment="0" applyProtection="0"/>
    <xf numFmtId="0" fontId="23" fillId="7" borderId="0" applyNumberFormat="0" applyBorder="0" applyAlignment="0" applyProtection="0"/>
    <xf numFmtId="0" fontId="94" fillId="7" borderId="0" applyNumberFormat="0" applyBorder="0" applyAlignment="0" applyProtection="0"/>
    <xf numFmtId="0" fontId="180" fillId="37" borderId="0" applyNumberFormat="0" applyBorder="0" applyAlignment="0" applyProtection="0"/>
    <xf numFmtId="0" fontId="94" fillId="3"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155"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180" fillId="38" borderId="0" applyNumberFormat="0" applyBorder="0" applyAlignment="0" applyProtection="0"/>
    <xf numFmtId="0" fontId="180" fillId="38" borderId="0" applyNumberFormat="0" applyBorder="0" applyAlignment="0" applyProtection="0"/>
    <xf numFmtId="0" fontId="94" fillId="8" borderId="0" applyNumberFormat="0" applyBorder="0" applyAlignment="0" applyProtection="0"/>
    <xf numFmtId="0" fontId="23" fillId="8" borderId="0" applyNumberFormat="0" applyBorder="0" applyAlignment="0" applyProtection="0"/>
    <xf numFmtId="0" fontId="94" fillId="8" borderId="0" applyNumberFormat="0" applyBorder="0" applyAlignment="0" applyProtection="0"/>
    <xf numFmtId="0" fontId="180" fillId="38" borderId="0" applyNumberFormat="0" applyBorder="0" applyAlignment="0" applyProtection="0"/>
    <xf numFmtId="0" fontId="155"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180" fillId="39" borderId="0" applyNumberFormat="0" applyBorder="0" applyAlignment="0" applyProtection="0"/>
    <xf numFmtId="0" fontId="180" fillId="39" borderId="0" applyNumberFormat="0" applyBorder="0" applyAlignment="0" applyProtection="0"/>
    <xf numFmtId="0" fontId="94" fillId="9" borderId="0" applyNumberFormat="0" applyBorder="0" applyAlignment="0" applyProtection="0"/>
    <xf numFmtId="0" fontId="23" fillId="9" borderId="0" applyNumberFormat="0" applyBorder="0" applyAlignment="0" applyProtection="0"/>
    <xf numFmtId="0" fontId="94" fillId="9" borderId="0" applyNumberFormat="0" applyBorder="0" applyAlignment="0" applyProtection="0"/>
    <xf numFmtId="0" fontId="180" fillId="39" borderId="0" applyNumberFormat="0" applyBorder="0" applyAlignment="0" applyProtection="0"/>
    <xf numFmtId="0" fontId="155"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180" fillId="40" borderId="0" applyNumberFormat="0" applyBorder="0" applyAlignment="0" applyProtection="0"/>
    <xf numFmtId="0" fontId="180" fillId="40" borderId="0" applyNumberFormat="0" applyBorder="0" applyAlignment="0" applyProtection="0"/>
    <xf numFmtId="0" fontId="94" fillId="11" borderId="0" applyNumberFormat="0" applyBorder="0" applyAlignment="0" applyProtection="0"/>
    <xf numFmtId="0" fontId="23" fillId="10" borderId="0" applyNumberFormat="0" applyBorder="0" applyAlignment="0" applyProtection="0"/>
    <xf numFmtId="0" fontId="94" fillId="10" borderId="0" applyNumberFormat="0" applyBorder="0" applyAlignment="0" applyProtection="0"/>
    <xf numFmtId="0" fontId="180" fillId="40" borderId="0" applyNumberFormat="0" applyBorder="0" applyAlignment="0" applyProtection="0"/>
    <xf numFmtId="0" fontId="94" fillId="11"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155" fillId="10"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80" fillId="41" borderId="0" applyNumberFormat="0" applyBorder="0" applyAlignment="0" applyProtection="0"/>
    <xf numFmtId="0" fontId="180" fillId="41" borderId="0" applyNumberFormat="0" applyBorder="0" applyAlignment="0" applyProtection="0"/>
    <xf numFmtId="0" fontId="94" fillId="12" borderId="0" applyNumberFormat="0" applyBorder="0" applyAlignment="0" applyProtection="0"/>
    <xf numFmtId="0" fontId="23" fillId="12" borderId="0" applyNumberFormat="0" applyBorder="0" applyAlignment="0" applyProtection="0"/>
    <xf numFmtId="0" fontId="94" fillId="12" borderId="0" applyNumberFormat="0" applyBorder="0" applyAlignment="0" applyProtection="0"/>
    <xf numFmtId="0" fontId="180" fillId="41" borderId="0" applyNumberFormat="0" applyBorder="0" applyAlignment="0" applyProtection="0"/>
    <xf numFmtId="0" fontId="155"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4" borderId="0" applyNumberFormat="0" applyBorder="0" applyAlignment="0" applyProtection="0"/>
    <xf numFmtId="0" fontId="94" fillId="13" borderId="0" applyNumberFormat="0" applyBorder="0" applyAlignment="0" applyProtection="0"/>
    <xf numFmtId="0" fontId="94" fillId="14" borderId="0" applyNumberFormat="0" applyBorder="0" applyAlignment="0" applyProtection="0"/>
    <xf numFmtId="0" fontId="180" fillId="42" borderId="0" applyNumberFormat="0" applyBorder="0" applyAlignment="0" applyProtection="0"/>
    <xf numFmtId="0" fontId="180" fillId="42" borderId="0" applyNumberFormat="0" applyBorder="0" applyAlignment="0" applyProtection="0"/>
    <xf numFmtId="0" fontId="94" fillId="14" borderId="0" applyNumberFormat="0" applyBorder="0" applyAlignment="0" applyProtection="0"/>
    <xf numFmtId="0" fontId="23" fillId="13" borderId="0" applyNumberFormat="0" applyBorder="0" applyAlignment="0" applyProtection="0"/>
    <xf numFmtId="0" fontId="94" fillId="13" borderId="0" applyNumberFormat="0" applyBorder="0" applyAlignment="0" applyProtection="0"/>
    <xf numFmtId="0" fontId="180" fillId="42" borderId="0" applyNumberFormat="0" applyBorder="0" applyAlignment="0" applyProtection="0"/>
    <xf numFmtId="0" fontId="94" fillId="14"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155" fillId="13" borderId="0" applyNumberFormat="0" applyBorder="0" applyAlignment="0" applyProtection="0"/>
    <xf numFmtId="0" fontId="23" fillId="13" borderId="0" applyNumberFormat="0" applyBorder="0" applyAlignment="0" applyProtection="0"/>
    <xf numFmtId="0" fontId="23"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11" borderId="0" applyNumberFormat="0" applyBorder="0" applyAlignment="0" applyProtection="0"/>
    <xf numFmtId="0" fontId="94" fillId="7" borderId="0" applyNumberFormat="0" applyBorder="0" applyAlignment="0" applyProtection="0"/>
    <xf numFmtId="0" fontId="94" fillId="11" borderId="0" applyNumberFormat="0" applyBorder="0" applyAlignment="0" applyProtection="0"/>
    <xf numFmtId="0" fontId="180" fillId="43" borderId="0" applyNumberFormat="0" applyBorder="0" applyAlignment="0" applyProtection="0"/>
    <xf numFmtId="0" fontId="180" fillId="43" borderId="0" applyNumberFormat="0" applyBorder="0" applyAlignment="0" applyProtection="0"/>
    <xf numFmtId="0" fontId="94" fillId="11" borderId="0" applyNumberFormat="0" applyBorder="0" applyAlignment="0" applyProtection="0"/>
    <xf numFmtId="0" fontId="23" fillId="7" borderId="0" applyNumberFormat="0" applyBorder="0" applyAlignment="0" applyProtection="0"/>
    <xf numFmtId="0" fontId="94" fillId="7" borderId="0" applyNumberFormat="0" applyBorder="0" applyAlignment="0" applyProtection="0"/>
    <xf numFmtId="0" fontId="180" fillId="43" borderId="0" applyNumberFormat="0" applyBorder="0" applyAlignment="0" applyProtection="0"/>
    <xf numFmtId="0" fontId="94" fillId="11"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155" fillId="7"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180" fillId="44" borderId="0" applyNumberFormat="0" applyBorder="0" applyAlignment="0" applyProtection="0"/>
    <xf numFmtId="0" fontId="180" fillId="44" borderId="0" applyNumberFormat="0" applyBorder="0" applyAlignment="0" applyProtection="0"/>
    <xf numFmtId="0" fontId="94" fillId="10" borderId="0" applyNumberFormat="0" applyBorder="0" applyAlignment="0" applyProtection="0"/>
    <xf numFmtId="0" fontId="23" fillId="10" borderId="0" applyNumberFormat="0" applyBorder="0" applyAlignment="0" applyProtection="0"/>
    <xf numFmtId="0" fontId="94" fillId="10" borderId="0" applyNumberFormat="0" applyBorder="0" applyAlignment="0" applyProtection="0"/>
    <xf numFmtId="0" fontId="180" fillId="44" borderId="0" applyNumberFormat="0" applyBorder="0" applyAlignment="0" applyProtection="0"/>
    <xf numFmtId="0" fontId="155" fillId="10"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9" borderId="0" applyNumberFormat="0" applyBorder="0" applyAlignment="0" applyProtection="0"/>
    <xf numFmtId="0" fontId="94" fillId="15" borderId="0" applyNumberFormat="0" applyBorder="0" applyAlignment="0" applyProtection="0"/>
    <xf numFmtId="0" fontId="94" fillId="9" borderId="0" applyNumberFormat="0" applyBorder="0" applyAlignment="0" applyProtection="0"/>
    <xf numFmtId="0" fontId="180" fillId="45" borderId="0" applyNumberFormat="0" applyBorder="0" applyAlignment="0" applyProtection="0"/>
    <xf numFmtId="0" fontId="180" fillId="45" borderId="0" applyNumberFormat="0" applyBorder="0" applyAlignment="0" applyProtection="0"/>
    <xf numFmtId="0" fontId="94" fillId="9" borderId="0" applyNumberFormat="0" applyBorder="0" applyAlignment="0" applyProtection="0"/>
    <xf numFmtId="0" fontId="23" fillId="15" borderId="0" applyNumberFormat="0" applyBorder="0" applyAlignment="0" applyProtection="0"/>
    <xf numFmtId="0" fontId="94" fillId="15" borderId="0" applyNumberFormat="0" applyBorder="0" applyAlignment="0" applyProtection="0"/>
    <xf numFmtId="0" fontId="180" fillId="45" borderId="0" applyNumberFormat="0" applyBorder="0" applyAlignment="0" applyProtection="0"/>
    <xf numFmtId="0" fontId="94" fillId="9"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155" fillId="15"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181" fillId="46" borderId="0" applyNumberFormat="0" applyBorder="0" applyAlignment="0" applyProtection="0"/>
    <xf numFmtId="0" fontId="24" fillId="16" borderId="0" applyNumberFormat="0" applyBorder="0" applyAlignment="0" applyProtection="0"/>
    <xf numFmtId="0" fontId="97" fillId="16" borderId="0" applyNumberFormat="0" applyBorder="0" applyAlignment="0" applyProtection="0"/>
    <xf numFmtId="0" fontId="181" fillId="46" borderId="0" applyNumberFormat="0" applyBorder="0" applyAlignment="0" applyProtection="0"/>
    <xf numFmtId="0" fontId="97" fillId="17" borderId="0" applyNumberFormat="0" applyBorder="0" applyAlignment="0" applyProtection="0"/>
    <xf numFmtId="0" fontId="97" fillId="16" borderId="0" applyNumberFormat="0" applyBorder="0" applyAlignment="0" applyProtection="0"/>
    <xf numFmtId="0" fontId="156" fillId="16" borderId="0" applyNumberFormat="0" applyBorder="0" applyAlignment="0" applyProtection="0"/>
    <xf numFmtId="0" fontId="24" fillId="16" borderId="0" applyNumberFormat="0" applyBorder="0" applyAlignment="0" applyProtection="0"/>
    <xf numFmtId="0" fontId="24"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181" fillId="47" borderId="0" applyNumberFormat="0" applyBorder="0" applyAlignment="0" applyProtection="0"/>
    <xf numFmtId="0" fontId="24" fillId="12" borderId="0" applyNumberFormat="0" applyBorder="0" applyAlignment="0" applyProtection="0"/>
    <xf numFmtId="0" fontId="97" fillId="12" borderId="0" applyNumberFormat="0" applyBorder="0" applyAlignment="0" applyProtection="0"/>
    <xf numFmtId="0" fontId="181" fillId="47" borderId="0" applyNumberFormat="0" applyBorder="0" applyAlignment="0" applyProtection="0"/>
    <xf numFmtId="0" fontId="156" fillId="12"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181" fillId="48" borderId="0" applyNumberFormat="0" applyBorder="0" applyAlignment="0" applyProtection="0"/>
    <xf numFmtId="0" fontId="24" fillId="13" borderId="0" applyNumberFormat="0" applyBorder="0" applyAlignment="0" applyProtection="0"/>
    <xf numFmtId="0" fontId="97" fillId="13" borderId="0" applyNumberFormat="0" applyBorder="0" applyAlignment="0" applyProtection="0"/>
    <xf numFmtId="0" fontId="181" fillId="48" borderId="0" applyNumberFormat="0" applyBorder="0" applyAlignment="0" applyProtection="0"/>
    <xf numFmtId="0" fontId="97" fillId="14" borderId="0" applyNumberFormat="0" applyBorder="0" applyAlignment="0" applyProtection="0"/>
    <xf numFmtId="0" fontId="97" fillId="13" borderId="0" applyNumberFormat="0" applyBorder="0" applyAlignment="0" applyProtection="0"/>
    <xf numFmtId="0" fontId="156" fillId="13" borderId="0" applyNumberFormat="0" applyBorder="0" applyAlignment="0" applyProtection="0"/>
    <xf numFmtId="0" fontId="24" fillId="13" borderId="0" applyNumberFormat="0" applyBorder="0" applyAlignment="0" applyProtection="0"/>
    <xf numFmtId="0" fontId="24"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181" fillId="49" borderId="0" applyNumberFormat="0" applyBorder="0" applyAlignment="0" applyProtection="0"/>
    <xf numFmtId="0" fontId="24" fillId="18" borderId="0" applyNumberFormat="0" applyBorder="0" applyAlignment="0" applyProtection="0"/>
    <xf numFmtId="0" fontId="97" fillId="18" borderId="0" applyNumberFormat="0" applyBorder="0" applyAlignment="0" applyProtection="0"/>
    <xf numFmtId="0" fontId="181" fillId="49" borderId="0" applyNumberFormat="0" applyBorder="0" applyAlignment="0" applyProtection="0"/>
    <xf numFmtId="0" fontId="97" fillId="11" borderId="0" applyNumberFormat="0" applyBorder="0" applyAlignment="0" applyProtection="0"/>
    <xf numFmtId="0" fontId="97" fillId="18" borderId="0" applyNumberFormat="0" applyBorder="0" applyAlignment="0" applyProtection="0"/>
    <xf numFmtId="0" fontId="156" fillId="18" borderId="0" applyNumberFormat="0" applyBorder="0" applyAlignment="0" applyProtection="0"/>
    <xf numFmtId="0" fontId="24" fillId="18" borderId="0" applyNumberFormat="0" applyBorder="0" applyAlignment="0" applyProtection="0"/>
    <xf numFmtId="0" fontId="24"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181" fillId="50" borderId="0" applyNumberFormat="0" applyBorder="0" applyAlignment="0" applyProtection="0"/>
    <xf numFmtId="0" fontId="24" fillId="17" borderId="0" applyNumberFormat="0" applyBorder="0" applyAlignment="0" applyProtection="0"/>
    <xf numFmtId="0" fontId="97" fillId="17" borderId="0" applyNumberFormat="0" applyBorder="0" applyAlignment="0" applyProtection="0"/>
    <xf numFmtId="0" fontId="181" fillId="50" borderId="0" applyNumberFormat="0" applyBorder="0" applyAlignment="0" applyProtection="0"/>
    <xf numFmtId="0" fontId="156" fillId="17"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181" fillId="51" borderId="0" applyNumberFormat="0" applyBorder="0" applyAlignment="0" applyProtection="0"/>
    <xf numFmtId="0" fontId="24" fillId="19" borderId="0" applyNumberFormat="0" applyBorder="0" applyAlignment="0" applyProtection="0"/>
    <xf numFmtId="0" fontId="97" fillId="19" borderId="0" applyNumberFormat="0" applyBorder="0" applyAlignment="0" applyProtection="0"/>
    <xf numFmtId="0" fontId="181" fillId="51" borderId="0" applyNumberFormat="0" applyBorder="0" applyAlignment="0" applyProtection="0"/>
    <xf numFmtId="0" fontId="97" fillId="12" borderId="0" applyNumberFormat="0" applyBorder="0" applyAlignment="0" applyProtection="0"/>
    <xf numFmtId="0" fontId="97" fillId="19" borderId="0" applyNumberFormat="0" applyBorder="0" applyAlignment="0" applyProtection="0"/>
    <xf numFmtId="0" fontId="156"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181" fillId="52" borderId="0" applyNumberFormat="0" applyBorder="0" applyAlignment="0" applyProtection="0"/>
    <xf numFmtId="0" fontId="24" fillId="20" borderId="0" applyNumberFormat="0" applyBorder="0" applyAlignment="0" applyProtection="0"/>
    <xf numFmtId="0" fontId="97" fillId="20" borderId="0" applyNumberFormat="0" applyBorder="0" applyAlignment="0" applyProtection="0"/>
    <xf numFmtId="0" fontId="181" fillId="52" borderId="0" applyNumberFormat="0" applyBorder="0" applyAlignment="0" applyProtection="0"/>
    <xf numFmtId="0" fontId="97" fillId="17" borderId="0" applyNumberFormat="0" applyBorder="0" applyAlignment="0" applyProtection="0"/>
    <xf numFmtId="0" fontId="97" fillId="20" borderId="0" applyNumberFormat="0" applyBorder="0" applyAlignment="0" applyProtection="0"/>
    <xf numFmtId="0" fontId="156"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181" fillId="53" borderId="0" applyNumberFormat="0" applyBorder="0" applyAlignment="0" applyProtection="0"/>
    <xf numFmtId="0" fontId="24" fillId="21" borderId="0" applyNumberFormat="0" applyBorder="0" applyAlignment="0" applyProtection="0"/>
    <xf numFmtId="0" fontId="97" fillId="21" borderId="0" applyNumberFormat="0" applyBorder="0" applyAlignment="0" applyProtection="0"/>
    <xf numFmtId="0" fontId="181" fillId="53" borderId="0" applyNumberFormat="0" applyBorder="0" applyAlignment="0" applyProtection="0"/>
    <xf numFmtId="0" fontId="156"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97" fillId="22" borderId="0" applyNumberFormat="0" applyBorder="0" applyAlignment="0" applyProtection="0"/>
    <xf numFmtId="0" fontId="97" fillId="22" borderId="0" applyNumberFormat="0" applyBorder="0" applyAlignment="0" applyProtection="0"/>
    <xf numFmtId="0" fontId="181" fillId="54" borderId="0" applyNumberFormat="0" applyBorder="0" applyAlignment="0" applyProtection="0"/>
    <xf numFmtId="0" fontId="24" fillId="22" borderId="0" applyNumberFormat="0" applyBorder="0" applyAlignment="0" applyProtection="0"/>
    <xf numFmtId="0" fontId="97" fillId="22" borderId="0" applyNumberFormat="0" applyBorder="0" applyAlignment="0" applyProtection="0"/>
    <xf numFmtId="0" fontId="181" fillId="54" borderId="0" applyNumberFormat="0" applyBorder="0" applyAlignment="0" applyProtection="0"/>
    <xf numFmtId="0" fontId="156" fillId="22" borderId="0" applyNumberFormat="0" applyBorder="0" applyAlignment="0" applyProtection="0"/>
    <xf numFmtId="0" fontId="24" fillId="22" borderId="0" applyNumberFormat="0" applyBorder="0" applyAlignment="0" applyProtection="0"/>
    <xf numFmtId="0" fontId="24"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181" fillId="55" borderId="0" applyNumberFormat="0" applyBorder="0" applyAlignment="0" applyProtection="0"/>
    <xf numFmtId="0" fontId="24" fillId="18" borderId="0" applyNumberFormat="0" applyBorder="0" applyAlignment="0" applyProtection="0"/>
    <xf numFmtId="0" fontId="97" fillId="18" borderId="0" applyNumberFormat="0" applyBorder="0" applyAlignment="0" applyProtection="0"/>
    <xf numFmtId="0" fontId="181" fillId="55" borderId="0" applyNumberFormat="0" applyBorder="0" applyAlignment="0" applyProtection="0"/>
    <xf numFmtId="0" fontId="97" fillId="23" borderId="0" applyNumberFormat="0" applyBorder="0" applyAlignment="0" applyProtection="0"/>
    <xf numFmtId="0" fontId="97" fillId="18" borderId="0" applyNumberFormat="0" applyBorder="0" applyAlignment="0" applyProtection="0"/>
    <xf numFmtId="0" fontId="156" fillId="18" borderId="0" applyNumberFormat="0" applyBorder="0" applyAlignment="0" applyProtection="0"/>
    <xf numFmtId="0" fontId="24" fillId="18" borderId="0" applyNumberFormat="0" applyBorder="0" applyAlignment="0" applyProtection="0"/>
    <xf numFmtId="0" fontId="24"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181" fillId="56" borderId="0" applyNumberFormat="0" applyBorder="0" applyAlignment="0" applyProtection="0"/>
    <xf numFmtId="0" fontId="24" fillId="17" borderId="0" applyNumberFormat="0" applyBorder="0" applyAlignment="0" applyProtection="0"/>
    <xf numFmtId="0" fontId="97" fillId="17" borderId="0" applyNumberFormat="0" applyBorder="0" applyAlignment="0" applyProtection="0"/>
    <xf numFmtId="0" fontId="181" fillId="56" borderId="0" applyNumberFormat="0" applyBorder="0" applyAlignment="0" applyProtection="0"/>
    <xf numFmtId="0" fontId="156" fillId="17" borderId="0" applyNumberFormat="0" applyBorder="0" applyAlignment="0" applyProtection="0"/>
    <xf numFmtId="0" fontId="24" fillId="17" borderId="0" applyNumberFormat="0" applyBorder="0" applyAlignment="0" applyProtection="0"/>
    <xf numFmtId="0" fontId="24"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181" fillId="57" borderId="0" applyNumberFormat="0" applyBorder="0" applyAlignment="0" applyProtection="0"/>
    <xf numFmtId="0" fontId="24" fillId="24" borderId="0" applyNumberFormat="0" applyBorder="0" applyAlignment="0" applyProtection="0"/>
    <xf numFmtId="0" fontId="97" fillId="24" borderId="0" applyNumberFormat="0" applyBorder="0" applyAlignment="0" applyProtection="0"/>
    <xf numFmtId="0" fontId="181" fillId="57" borderId="0" applyNumberFormat="0" applyBorder="0" applyAlignment="0" applyProtection="0"/>
    <xf numFmtId="0" fontId="156" fillId="24" borderId="0" applyNumberFormat="0" applyBorder="0" applyAlignment="0" applyProtection="0"/>
    <xf numFmtId="0" fontId="24" fillId="24" borderId="0" applyNumberFormat="0" applyBorder="0" applyAlignment="0" applyProtection="0"/>
    <xf numFmtId="0" fontId="25"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182" fillId="58" borderId="0" applyNumberFormat="0" applyBorder="0" applyAlignment="0" applyProtection="0"/>
    <xf numFmtId="0" fontId="25" fillId="4" borderId="0" applyNumberFormat="0" applyBorder="0" applyAlignment="0" applyProtection="0"/>
    <xf numFmtId="0" fontId="98" fillId="4" borderId="0" applyNumberFormat="0" applyBorder="0" applyAlignment="0" applyProtection="0"/>
    <xf numFmtId="0" fontId="182" fillId="58" borderId="0" applyNumberFormat="0" applyBorder="0" applyAlignment="0" applyProtection="0"/>
    <xf numFmtId="0" fontId="98" fillId="25" borderId="0" applyNumberFormat="0" applyBorder="0" applyAlignment="0" applyProtection="0"/>
    <xf numFmtId="0" fontId="98" fillId="4" borderId="0" applyNumberFormat="0" applyBorder="0" applyAlignment="0" applyProtection="0"/>
    <xf numFmtId="0" fontId="157" fillId="4" borderId="0" applyNumberFormat="0" applyBorder="0" applyAlignment="0" applyProtection="0"/>
    <xf numFmtId="0" fontId="25" fillId="4" borderId="0" applyNumberFormat="0" applyBorder="0" applyAlignment="0" applyProtection="0"/>
    <xf numFmtId="172" fontId="26" fillId="0" borderId="0" applyFill="0"/>
    <xf numFmtId="172" fontId="26" fillId="0" borderId="0">
      <alignment horizontal="center"/>
    </xf>
    <xf numFmtId="0" fontId="26" fillId="0" borderId="0" applyFill="0">
      <alignment horizontal="center"/>
    </xf>
    <xf numFmtId="172" fontId="3" fillId="0" borderId="1" applyFill="0"/>
    <xf numFmtId="0" fontId="9" fillId="0" borderId="0" applyFont="0" applyAlignment="0"/>
    <xf numFmtId="0" fontId="9" fillId="0" borderId="0" applyFont="0" applyAlignment="0"/>
    <xf numFmtId="0" fontId="27" fillId="0" borderId="0" applyFill="0">
      <alignment vertical="top"/>
    </xf>
    <xf numFmtId="0" fontId="3" fillId="0" borderId="0" applyFill="0">
      <alignment horizontal="left" vertical="top"/>
    </xf>
    <xf numFmtId="172" fontId="5" fillId="0" borderId="2" applyFill="0"/>
    <xf numFmtId="0" fontId="9" fillId="0" borderId="0" applyNumberFormat="0" applyFont="0" applyAlignment="0"/>
    <xf numFmtId="0" fontId="9" fillId="0" borderId="0" applyNumberFormat="0" applyFont="0" applyAlignment="0"/>
    <xf numFmtId="0" fontId="27" fillId="0" borderId="0" applyFill="0">
      <alignment wrapText="1"/>
    </xf>
    <xf numFmtId="0" fontId="3" fillId="0" borderId="0" applyFill="0">
      <alignment horizontal="left" vertical="top" wrapText="1"/>
    </xf>
    <xf numFmtId="172" fontId="28" fillId="0" borderId="0" applyFill="0"/>
    <xf numFmtId="0" fontId="29" fillId="0" borderId="0" applyNumberFormat="0" applyFont="0" applyAlignment="0">
      <alignment horizontal="center"/>
    </xf>
    <xf numFmtId="0" fontId="30" fillId="0" borderId="0" applyFill="0">
      <alignment vertical="top" wrapText="1"/>
    </xf>
    <xf numFmtId="0" fontId="5" fillId="0" borderId="0" applyFill="0">
      <alignment horizontal="left" vertical="top" wrapText="1"/>
    </xf>
    <xf numFmtId="172" fontId="9" fillId="0" borderId="0" applyFill="0"/>
    <xf numFmtId="172" fontId="9" fillId="0" borderId="0" applyFill="0"/>
    <xf numFmtId="0" fontId="29" fillId="0" borderId="0" applyNumberFormat="0" applyFont="0" applyAlignment="0">
      <alignment horizontal="center"/>
    </xf>
    <xf numFmtId="0" fontId="19" fillId="0" borderId="0" applyFill="0">
      <alignment vertical="center" wrapText="1"/>
    </xf>
    <xf numFmtId="0" fontId="4" fillId="0" borderId="0">
      <alignment horizontal="left" vertical="center" wrapText="1"/>
    </xf>
    <xf numFmtId="172" fontId="17" fillId="0" borderId="0" applyFill="0"/>
    <xf numFmtId="0" fontId="29" fillId="0" borderId="0" applyNumberFormat="0" applyFont="0" applyAlignment="0">
      <alignment horizontal="center"/>
    </xf>
    <xf numFmtId="0" fontId="13" fillId="0" borderId="0" applyFill="0">
      <alignment horizontal="center" vertical="center" wrapText="1"/>
    </xf>
    <xf numFmtId="0" fontId="9" fillId="0" borderId="0" applyFill="0">
      <alignment horizontal="center" vertical="center" wrapText="1"/>
    </xf>
    <xf numFmtId="0" fontId="9" fillId="0" borderId="0" applyFill="0">
      <alignment horizontal="center" vertical="center" wrapText="1"/>
    </xf>
    <xf numFmtId="172" fontId="31" fillId="0" borderId="0" applyFill="0"/>
    <xf numFmtId="0" fontId="29" fillId="0" borderId="0" applyNumberFormat="0" applyFont="0" applyAlignment="0">
      <alignment horizontal="center"/>
    </xf>
    <xf numFmtId="0" fontId="32" fillId="0" borderId="0" applyFill="0">
      <alignment horizontal="center" vertical="center" wrapText="1"/>
    </xf>
    <xf numFmtId="0" fontId="33" fillId="0" borderId="0" applyFill="0">
      <alignment horizontal="center" vertical="center" wrapText="1"/>
    </xf>
    <xf numFmtId="172" fontId="34" fillId="0" borderId="0" applyFill="0"/>
    <xf numFmtId="0" fontId="29" fillId="0" borderId="0" applyNumberFormat="0" applyFont="0" applyAlignment="0">
      <alignment horizontal="center"/>
    </xf>
    <xf numFmtId="0" fontId="35" fillId="0" borderId="0">
      <alignment horizontal="center" wrapText="1"/>
    </xf>
    <xf numFmtId="0" fontId="31" fillId="0" borderId="0" applyFill="0">
      <alignment horizontal="center" wrapText="1"/>
    </xf>
    <xf numFmtId="200" fontId="154" fillId="0" borderId="0" applyNumberFormat="0" applyFont="0" applyAlignment="0" applyProtection="0"/>
    <xf numFmtId="0" fontId="36" fillId="3" borderId="3" applyNumberFormat="0" applyAlignment="0" applyProtection="0"/>
    <xf numFmtId="0" fontId="99" fillId="3" borderId="3" applyNumberFormat="0" applyAlignment="0" applyProtection="0"/>
    <xf numFmtId="0" fontId="99" fillId="3" borderId="3" applyNumberFormat="0" applyAlignment="0" applyProtection="0"/>
    <xf numFmtId="0" fontId="183" fillId="59" borderId="63" applyNumberFormat="0" applyAlignment="0" applyProtection="0"/>
    <xf numFmtId="0" fontId="36" fillId="3" borderId="3" applyNumberFormat="0" applyAlignment="0" applyProtection="0"/>
    <xf numFmtId="0" fontId="99" fillId="3" borderId="3" applyNumberFormat="0" applyAlignment="0" applyProtection="0"/>
    <xf numFmtId="0" fontId="183" fillId="59" borderId="63" applyNumberFormat="0" applyAlignment="0" applyProtection="0"/>
    <xf numFmtId="0" fontId="158" fillId="3" borderId="3" applyNumberFormat="0" applyAlignment="0" applyProtection="0"/>
    <xf numFmtId="0" fontId="36" fillId="3" borderId="3" applyNumberFormat="0" applyAlignment="0" applyProtection="0"/>
    <xf numFmtId="0" fontId="37" fillId="26" borderId="4" applyNumberFormat="0" applyAlignment="0" applyProtection="0"/>
    <xf numFmtId="0" fontId="100" fillId="26" borderId="4" applyNumberFormat="0" applyAlignment="0" applyProtection="0"/>
    <xf numFmtId="0" fontId="100" fillId="26" borderId="4" applyNumberFormat="0" applyAlignment="0" applyProtection="0"/>
    <xf numFmtId="0" fontId="184" fillId="60" borderId="64" applyNumberFormat="0" applyAlignment="0" applyProtection="0"/>
    <xf numFmtId="0" fontId="37" fillId="26" borderId="4" applyNumberFormat="0" applyAlignment="0" applyProtection="0"/>
    <xf numFmtId="0" fontId="100" fillId="26" borderId="4" applyNumberFormat="0" applyAlignment="0" applyProtection="0"/>
    <xf numFmtId="0" fontId="184" fillId="60" borderId="64" applyNumberFormat="0" applyAlignment="0" applyProtection="0"/>
    <xf numFmtId="0" fontId="100" fillId="11" borderId="4" applyNumberFormat="0" applyAlignment="0" applyProtection="0"/>
    <xf numFmtId="0" fontId="100" fillId="26" borderId="4" applyNumberFormat="0" applyAlignment="0" applyProtection="0"/>
    <xf numFmtId="0" fontId="159" fillId="26" borderId="4" applyNumberFormat="0" applyAlignment="0" applyProtection="0"/>
    <xf numFmtId="0" fontId="37" fillId="26" borderId="4" applyNumberFormat="0" applyAlignment="0" applyProtection="0"/>
    <xf numFmtId="43" fontId="1"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140" fillId="0" borderId="0" applyFont="0" applyFill="0" applyBorder="0" applyAlignment="0" applyProtection="0"/>
    <xf numFmtId="43" fontId="9" fillId="0" borderId="0" applyFont="0" applyFill="0" applyBorder="0" applyAlignment="0" applyProtection="0"/>
    <xf numFmtId="43" fontId="140" fillId="0" borderId="0" applyFont="0" applyFill="0" applyBorder="0" applyAlignment="0" applyProtection="0"/>
    <xf numFmtId="43" fontId="9" fillId="0" borderId="0" applyFont="0" applyFill="0" applyBorder="0" applyAlignment="0" applyProtection="0"/>
    <xf numFmtId="43" fontId="140" fillId="0" borderId="0" applyFont="0" applyFill="0" applyBorder="0" applyAlignment="0" applyProtection="0"/>
    <xf numFmtId="43" fontId="9" fillId="0" borderId="0" applyFont="0" applyFill="0" applyBorder="0" applyAlignment="0" applyProtection="0"/>
    <xf numFmtId="43" fontId="140" fillId="0" borderId="0" applyFont="0" applyFill="0" applyBorder="0" applyAlignment="0" applyProtection="0"/>
    <xf numFmtId="43" fontId="9" fillId="0" borderId="0" applyFont="0" applyFill="0" applyBorder="0" applyAlignment="0" applyProtection="0"/>
    <xf numFmtId="43" fontId="140" fillId="0" borderId="0" applyFont="0" applyFill="0" applyBorder="0" applyAlignment="0" applyProtection="0"/>
    <xf numFmtId="43" fontId="9" fillId="0" borderId="0" applyFont="0" applyFill="0" applyBorder="0" applyAlignment="0" applyProtection="0"/>
    <xf numFmtId="43" fontId="140"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4"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4" fillId="0" borderId="0" applyFont="0" applyFill="0" applyBorder="0" applyAlignment="0" applyProtection="0"/>
    <xf numFmtId="43" fontId="9" fillId="0" borderId="0" applyFont="0" applyFill="0" applyBorder="0" applyAlignment="0" applyProtection="0"/>
    <xf numFmtId="43" fontId="94"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0"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7"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7"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7"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7"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77" fillId="0" borderId="0" applyFont="0" applyFill="0" applyBorder="0" applyAlignment="0" applyProtection="0"/>
    <xf numFmtId="43" fontId="178" fillId="0" borderId="0" applyFont="0" applyFill="0" applyBorder="0" applyAlignment="0" applyProtection="0"/>
    <xf numFmtId="43" fontId="9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1"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0" fillId="0" borderId="0" applyFont="0" applyFill="0" applyBorder="0" applyAlignment="0" applyProtection="0"/>
    <xf numFmtId="43" fontId="9" fillId="0" borderId="0" applyFont="0" applyFill="0" applyBorder="0" applyAlignment="0" applyProtection="0"/>
    <xf numFmtId="43" fontId="140" fillId="0" borderId="0" applyFont="0" applyFill="0" applyBorder="0" applyAlignment="0" applyProtection="0"/>
    <xf numFmtId="43" fontId="9" fillId="0" borderId="0" applyFont="0" applyFill="0" applyBorder="0" applyAlignment="0" applyProtection="0"/>
    <xf numFmtId="43" fontId="142"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7"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143" fillId="0" borderId="0" applyFont="0" applyFill="0" applyBorder="0" applyAlignment="0" applyProtection="0"/>
    <xf numFmtId="43" fontId="177"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0" fontId="21"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153"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9" fillId="0" borderId="0" applyFont="0" applyFill="0" applyBorder="0" applyAlignment="0" applyProtection="0"/>
    <xf numFmtId="43" fontId="94" fillId="0" borderId="0" applyFont="0" applyFill="0" applyBorder="0" applyAlignment="0" applyProtection="0"/>
    <xf numFmtId="43" fontId="176"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3" fontId="120"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0"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0"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78" fillId="0" borderId="0" applyFont="0" applyFill="0" applyBorder="0" applyAlignment="0" applyProtection="0"/>
    <xf numFmtId="43" fontId="17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3" fontId="9"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9" fillId="0" borderId="0" applyFont="0" applyFill="0" applyBorder="0" applyAlignment="0" applyProtection="0"/>
    <xf numFmtId="3" fontId="102"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10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12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2"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7"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143"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2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0" fillId="0" borderId="0" applyFont="0" applyFill="0" applyBorder="0" applyAlignment="0" applyProtection="0"/>
    <xf numFmtId="44" fontId="9" fillId="0" borderId="0" applyFont="0" applyFill="0" applyBorder="0" applyAlignment="0" applyProtection="0"/>
    <xf numFmtId="44" fontId="140" fillId="0" borderId="0" applyFont="0" applyFill="0" applyBorder="0" applyAlignment="0" applyProtection="0"/>
    <xf numFmtId="44" fontId="9" fillId="0" borderId="0" applyFont="0" applyFill="0" applyBorder="0" applyAlignment="0" applyProtection="0"/>
    <xf numFmtId="44" fontId="142"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7"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143" fillId="0" borderId="0" applyFont="0" applyFill="0" applyBorder="0" applyAlignment="0" applyProtection="0"/>
    <xf numFmtId="8" fontId="21" fillId="0" borderId="0" applyFont="0" applyFill="0" applyBorder="0" applyAlignment="0" applyProtection="0"/>
    <xf numFmtId="44" fontId="177" fillId="0" borderId="0" applyFont="0" applyFill="0" applyBorder="0" applyAlignment="0" applyProtection="0"/>
    <xf numFmtId="44" fontId="17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79" fillId="0" borderId="0" applyFont="0" applyFill="0" applyBorder="0" applyAlignment="0" applyProtection="0"/>
    <xf numFmtId="44" fontId="10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5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101" fillId="0" borderId="0" applyFont="0" applyFill="0" applyBorder="0" applyAlignment="0" applyProtection="0"/>
    <xf numFmtId="44" fontId="120"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149" fillId="0" borderId="0" applyFont="0" applyFill="0" applyBorder="0" applyAlignment="0" applyProtection="0"/>
    <xf numFmtId="44" fontId="94" fillId="0" borderId="0" applyFont="0" applyFill="0" applyBorder="0" applyAlignment="0" applyProtection="0"/>
    <xf numFmtId="44" fontId="176"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20"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9" fillId="0" borderId="0" applyFont="0" applyFill="0" applyBorder="0" applyAlignment="0" applyProtection="0"/>
    <xf numFmtId="8" fontId="2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43" fillId="0" borderId="0" applyFont="0" applyFill="0" applyBorder="0" applyAlignment="0" applyProtection="0"/>
    <xf numFmtId="44" fontId="9" fillId="0" borderId="0" applyFont="0" applyFill="0" applyBorder="0" applyAlignment="0" applyProtection="0"/>
    <xf numFmtId="44" fontId="178" fillId="0" borderId="0" applyFont="0" applyFill="0" applyBorder="0" applyAlignment="0" applyProtection="0"/>
    <xf numFmtId="44" fontId="179" fillId="0" borderId="0" applyFont="0" applyFill="0" applyBorder="0" applyAlignment="0" applyProtection="0"/>
    <xf numFmtId="5" fontId="9" fillId="0" borderId="0" applyFont="0" applyFill="0" applyBorder="0" applyAlignment="0" applyProtection="0"/>
    <xf numFmtId="195" fontId="102" fillId="0" borderId="0" applyFont="0" applyFill="0" applyBorder="0" applyAlignment="0" applyProtection="0"/>
    <xf numFmtId="195" fontId="102" fillId="0" borderId="0" applyFont="0" applyFill="0" applyBorder="0" applyAlignment="0" applyProtection="0"/>
    <xf numFmtId="5" fontId="9" fillId="0" borderId="0" applyFont="0" applyFill="0" applyBorder="0" applyAlignment="0" applyProtection="0"/>
    <xf numFmtId="195" fontId="102"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195" fontId="102" fillId="0" borderId="0" applyFont="0" applyFill="0" applyBorder="0" applyAlignment="0" applyProtection="0"/>
    <xf numFmtId="14" fontId="9" fillId="0" borderId="0" applyFont="0" applyFill="0" applyBorder="0" applyAlignment="0" applyProtection="0"/>
    <xf numFmtId="0" fontId="102" fillId="0" borderId="0" applyFont="0" applyFill="0" applyBorder="0" applyAlignment="0" applyProtection="0"/>
    <xf numFmtId="0" fontId="102" fillId="0" borderId="0" applyFont="0" applyFill="0" applyBorder="0" applyAlignment="0" applyProtection="0"/>
    <xf numFmtId="14" fontId="9" fillId="0" borderId="0" applyFont="0" applyFill="0" applyBorder="0" applyAlignment="0" applyProtection="0"/>
    <xf numFmtId="0" fontId="102" fillId="0" borderId="0" applyFont="0" applyFill="0" applyBorder="0" applyAlignment="0" applyProtection="0"/>
    <xf numFmtId="14" fontId="9" fillId="0" borderId="0" applyFont="0" applyFill="0" applyBorder="0" applyAlignment="0" applyProtection="0"/>
    <xf numFmtId="14" fontId="9" fillId="0" borderId="0" applyFont="0" applyFill="0" applyBorder="0" applyAlignment="0" applyProtection="0"/>
    <xf numFmtId="0" fontId="102" fillId="0" borderId="0" applyFont="0" applyFill="0" applyBorder="0" applyAlignment="0" applyProtection="0"/>
    <xf numFmtId="0" fontId="38"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85" fillId="0" borderId="0" applyNumberFormat="0" applyFill="0" applyBorder="0" applyAlignment="0" applyProtection="0"/>
    <xf numFmtId="0" fontId="38" fillId="0" borderId="0" applyNumberFormat="0" applyFill="0" applyBorder="0" applyAlignment="0" applyProtection="0"/>
    <xf numFmtId="0" fontId="103" fillId="0" borderId="0" applyNumberFormat="0" applyFill="0" applyBorder="0" applyAlignment="0" applyProtection="0"/>
    <xf numFmtId="0" fontId="185" fillId="0" borderId="0" applyNumberFormat="0" applyFill="0" applyBorder="0" applyAlignment="0" applyProtection="0"/>
    <xf numFmtId="0" fontId="160" fillId="0" borderId="0" applyNumberFormat="0" applyFill="0" applyBorder="0" applyAlignment="0" applyProtection="0"/>
    <xf numFmtId="0" fontId="38" fillId="0" borderId="0" applyNumberFormat="0" applyFill="0" applyBorder="0" applyAlignment="0" applyProtection="0"/>
    <xf numFmtId="2" fontId="9" fillId="0" borderId="0" applyFont="0" applyFill="0" applyBorder="0" applyAlignment="0" applyProtection="0"/>
    <xf numFmtId="2" fontId="102" fillId="0" borderId="0" applyFont="0" applyFill="0" applyBorder="0" applyAlignment="0" applyProtection="0"/>
    <xf numFmtId="2" fontId="102" fillId="0" borderId="0" applyFont="0" applyFill="0" applyBorder="0" applyAlignment="0" applyProtection="0"/>
    <xf numFmtId="2" fontId="9" fillId="0" borderId="0" applyFont="0" applyFill="0" applyBorder="0" applyAlignment="0" applyProtection="0"/>
    <xf numFmtId="2" fontId="102"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102" fillId="0" borderId="0" applyFont="0" applyFill="0" applyBorder="0" applyAlignment="0" applyProtection="0"/>
    <xf numFmtId="0" fontId="39" fillId="5" borderId="0" applyNumberFormat="0" applyBorder="0" applyAlignment="0" applyProtection="0"/>
    <xf numFmtId="0" fontId="104" fillId="5" borderId="0" applyNumberFormat="0" applyBorder="0" applyAlignment="0" applyProtection="0"/>
    <xf numFmtId="0" fontId="104" fillId="5" borderId="0" applyNumberFormat="0" applyBorder="0" applyAlignment="0" applyProtection="0"/>
    <xf numFmtId="0" fontId="186" fillId="61" borderId="0" applyNumberFormat="0" applyBorder="0" applyAlignment="0" applyProtection="0"/>
    <xf numFmtId="0" fontId="39" fillId="5" borderId="0" applyNumberFormat="0" applyBorder="0" applyAlignment="0" applyProtection="0"/>
    <xf numFmtId="0" fontId="104" fillId="5" borderId="0" applyNumberFormat="0" applyBorder="0" applyAlignment="0" applyProtection="0"/>
    <xf numFmtId="0" fontId="186" fillId="61" borderId="0" applyNumberFormat="0" applyBorder="0" applyAlignment="0" applyProtection="0"/>
    <xf numFmtId="0" fontId="161" fillId="5" borderId="0" applyNumberFormat="0" applyBorder="0" applyAlignment="0" applyProtection="0"/>
    <xf numFmtId="0" fontId="39" fillId="5" borderId="0" applyNumberFormat="0" applyBorder="0" applyAlignment="0" applyProtection="0"/>
    <xf numFmtId="0" fontId="20"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87" fillId="0" borderId="65" applyNumberFormat="0" applyFill="0" applyAlignment="0" applyProtection="0"/>
    <xf numFmtId="0" fontId="20" fillId="0" borderId="0" applyFont="0" applyFill="0" applyBorder="0" applyAlignment="0" applyProtection="0"/>
    <xf numFmtId="0" fontId="105" fillId="0" borderId="0" applyNumberFormat="0" applyFill="0" applyBorder="0" applyAlignment="0" applyProtection="0"/>
    <xf numFmtId="0" fontId="187" fillId="0" borderId="65" applyNumberFormat="0" applyFill="0" applyAlignment="0" applyProtection="0"/>
    <xf numFmtId="0" fontId="162" fillId="0" borderId="6"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50" fillId="0" borderId="5" applyNumberFormat="0" applyFill="0" applyAlignment="0" applyProtection="0"/>
    <xf numFmtId="0" fontId="20" fillId="0" borderId="0" applyFont="0" applyFill="0" applyBorder="0" applyAlignment="0" applyProtection="0"/>
    <xf numFmtId="0" fontId="5"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88" fillId="0" borderId="66" applyNumberFormat="0" applyFill="0" applyAlignment="0" applyProtection="0"/>
    <xf numFmtId="0" fontId="5" fillId="0" borderId="0" applyFont="0" applyFill="0" applyBorder="0" applyAlignment="0" applyProtection="0"/>
    <xf numFmtId="0" fontId="106" fillId="0" borderId="0" applyNumberFormat="0" applyFill="0" applyBorder="0" applyAlignment="0" applyProtection="0"/>
    <xf numFmtId="0" fontId="188" fillId="0" borderId="66" applyNumberFormat="0" applyFill="0" applyAlignment="0" applyProtection="0"/>
    <xf numFmtId="0" fontId="163" fillId="0" borderId="8"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51" fillId="0" borderId="7" applyNumberFormat="0" applyFill="0" applyAlignment="0" applyProtection="0"/>
    <xf numFmtId="0" fontId="5" fillId="0" borderId="0" applyFont="0" applyFill="0" applyBorder="0" applyAlignment="0" applyProtection="0"/>
    <xf numFmtId="0" fontId="40" fillId="0" borderId="9" applyNumberFormat="0" applyFill="0" applyAlignment="0" applyProtection="0"/>
    <xf numFmtId="0" fontId="107" fillId="0" borderId="9" applyNumberFormat="0" applyFill="0" applyAlignment="0" applyProtection="0"/>
    <xf numFmtId="0" fontId="107" fillId="0" borderId="9" applyNumberFormat="0" applyFill="0" applyAlignment="0" applyProtection="0"/>
    <xf numFmtId="0" fontId="189" fillId="0" borderId="67" applyNumberFormat="0" applyFill="0" applyAlignment="0" applyProtection="0"/>
    <xf numFmtId="0" fontId="40" fillId="0" borderId="9" applyNumberFormat="0" applyFill="0" applyAlignment="0" applyProtection="0"/>
    <xf numFmtId="0" fontId="107" fillId="0" borderId="9" applyNumberFormat="0" applyFill="0" applyAlignment="0" applyProtection="0"/>
    <xf numFmtId="0" fontId="189" fillId="0" borderId="67" applyNumberFormat="0" applyFill="0" applyAlignment="0" applyProtection="0"/>
    <xf numFmtId="0" fontId="164" fillId="0" borderId="10" applyNumberFormat="0" applyFill="0" applyAlignment="0" applyProtection="0"/>
    <xf numFmtId="0" fontId="107" fillId="0" borderId="9" applyNumberFormat="0" applyFill="0" applyAlignment="0" applyProtection="0"/>
    <xf numFmtId="0" fontId="165" fillId="0" borderId="9"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89" fillId="0" borderId="0" applyNumberFormat="0" applyFill="0" applyBorder="0" applyAlignment="0" applyProtection="0"/>
    <xf numFmtId="0" fontId="40" fillId="0" borderId="0" applyNumberFormat="0" applyFill="0" applyBorder="0" applyAlignment="0" applyProtection="0"/>
    <xf numFmtId="0" fontId="107" fillId="0" borderId="0" applyNumberFormat="0" applyFill="0" applyBorder="0" applyAlignment="0" applyProtection="0"/>
    <xf numFmtId="0" fontId="189" fillId="0" borderId="0" applyNumberFormat="0" applyFill="0" applyBorder="0" applyAlignment="0" applyProtection="0"/>
    <xf numFmtId="0" fontId="164" fillId="0" borderId="0" applyNumberFormat="0" applyFill="0" applyBorder="0" applyAlignment="0" applyProtection="0"/>
    <xf numFmtId="0" fontId="107" fillId="0" borderId="0" applyNumberFormat="0" applyFill="0" applyBorder="0" applyAlignment="0" applyProtection="0"/>
    <xf numFmtId="0" fontId="165" fillId="0" borderId="0" applyNumberFormat="0" applyFill="0" applyBorder="0" applyAlignment="0" applyProtection="0"/>
    <xf numFmtId="0" fontId="40" fillId="0" borderId="0" applyNumberFormat="0" applyFill="0" applyBorder="0" applyAlignment="0" applyProtection="0"/>
    <xf numFmtId="0" fontId="41" fillId="0" borderId="11"/>
    <xf numFmtId="0" fontId="42" fillId="0" borderId="0"/>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43" fillId="9" borderId="3" applyNumberFormat="0" applyAlignment="0" applyProtection="0"/>
    <xf numFmtId="0" fontId="108" fillId="9" borderId="3" applyNumberFormat="0" applyAlignment="0" applyProtection="0"/>
    <xf numFmtId="0" fontId="108" fillId="9" borderId="3" applyNumberFormat="0" applyAlignment="0" applyProtection="0"/>
    <xf numFmtId="0" fontId="190" fillId="62" borderId="63" applyNumberFormat="0" applyAlignment="0" applyProtection="0"/>
    <xf numFmtId="0" fontId="43" fillId="9" borderId="3" applyNumberFormat="0" applyAlignment="0" applyProtection="0"/>
    <xf numFmtId="0" fontId="108" fillId="9" borderId="3" applyNumberFormat="0" applyAlignment="0" applyProtection="0"/>
    <xf numFmtId="0" fontId="190" fillId="62" borderId="63" applyNumberFormat="0" applyAlignment="0" applyProtection="0"/>
    <xf numFmtId="0" fontId="169" fillId="9" borderId="3" applyNumberFormat="0" applyAlignment="0" applyProtection="0"/>
    <xf numFmtId="0" fontId="43" fillId="9" borderId="3" applyNumberFormat="0" applyAlignment="0" applyProtection="0"/>
    <xf numFmtId="0" fontId="44" fillId="0" borderId="12" applyNumberFormat="0" applyFill="0" applyAlignment="0" applyProtection="0"/>
    <xf numFmtId="0" fontId="109" fillId="0" borderId="12" applyNumberFormat="0" applyFill="0" applyAlignment="0" applyProtection="0"/>
    <xf numFmtId="0" fontId="109" fillId="0" borderId="12" applyNumberFormat="0" applyFill="0" applyAlignment="0" applyProtection="0"/>
    <xf numFmtId="0" fontId="191" fillId="0" borderId="68" applyNumberFormat="0" applyFill="0" applyAlignment="0" applyProtection="0"/>
    <xf numFmtId="0" fontId="44" fillId="0" borderId="12" applyNumberFormat="0" applyFill="0" applyAlignment="0" applyProtection="0"/>
    <xf numFmtId="0" fontId="109" fillId="0" borderId="12" applyNumberFormat="0" applyFill="0" applyAlignment="0" applyProtection="0"/>
    <xf numFmtId="0" fontId="191" fillId="0" borderId="68" applyNumberFormat="0" applyFill="0" applyAlignment="0" applyProtection="0"/>
    <xf numFmtId="0" fontId="170" fillId="0" borderId="12" applyNumberFormat="0" applyFill="0" applyAlignment="0" applyProtection="0"/>
    <xf numFmtId="0" fontId="44" fillId="0" borderId="12" applyNumberFormat="0" applyFill="0" applyAlignment="0" applyProtection="0"/>
    <xf numFmtId="196" fontId="9" fillId="0" borderId="0"/>
    <xf numFmtId="196" fontId="9" fillId="0" borderId="0"/>
    <xf numFmtId="196" fontId="9" fillId="0" borderId="0"/>
    <xf numFmtId="196" fontId="9" fillId="0" borderId="0"/>
    <xf numFmtId="196" fontId="9" fillId="0" borderId="0"/>
    <xf numFmtId="196" fontId="9" fillId="0" borderId="0"/>
    <xf numFmtId="196" fontId="9" fillId="0" borderId="0"/>
    <xf numFmtId="196" fontId="9" fillId="0" borderId="0"/>
    <xf numFmtId="196" fontId="9" fillId="0" borderId="0"/>
    <xf numFmtId="196" fontId="9" fillId="0" borderId="0"/>
    <xf numFmtId="196" fontId="9" fillId="0" borderId="0"/>
    <xf numFmtId="196" fontId="9" fillId="0" borderId="0"/>
    <xf numFmtId="196" fontId="9" fillId="0" borderId="0"/>
    <xf numFmtId="196" fontId="9" fillId="0" borderId="0"/>
    <xf numFmtId="196" fontId="143" fillId="0" borderId="0"/>
    <xf numFmtId="196" fontId="9" fillId="0" borderId="0"/>
    <xf numFmtId="196" fontId="178" fillId="0" borderId="0"/>
    <xf numFmtId="196" fontId="179" fillId="0" borderId="0"/>
    <xf numFmtId="0" fontId="45"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92" fillId="63" borderId="0" applyNumberFormat="0" applyBorder="0" applyAlignment="0" applyProtection="0"/>
    <xf numFmtId="0" fontId="45" fillId="14" borderId="0" applyNumberFormat="0" applyBorder="0" applyAlignment="0" applyProtection="0"/>
    <xf numFmtId="0" fontId="110" fillId="14" borderId="0" applyNumberFormat="0" applyBorder="0" applyAlignment="0" applyProtection="0"/>
    <xf numFmtId="0" fontId="192" fillId="63" borderId="0" applyNumberFormat="0" applyBorder="0" applyAlignment="0" applyProtection="0"/>
    <xf numFmtId="0" fontId="171" fillId="14" borderId="0" applyNumberFormat="0" applyBorder="0" applyAlignment="0" applyProtection="0"/>
    <xf numFmtId="0" fontId="45" fillId="14" borderId="0" applyNumberFormat="0" applyBorder="0" applyAlignment="0" applyProtection="0"/>
    <xf numFmtId="0" fontId="180" fillId="0" borderId="0"/>
    <xf numFmtId="0" fontId="21" fillId="0" borderId="0"/>
    <xf numFmtId="3" fontId="9" fillId="0" borderId="0"/>
    <xf numFmtId="0" fontId="21" fillId="0" borderId="0"/>
    <xf numFmtId="37" fontId="154" fillId="0" borderId="0"/>
    <xf numFmtId="3" fontId="9" fillId="0" borderId="0"/>
    <xf numFmtId="0" fontId="9" fillId="0" borderId="0"/>
    <xf numFmtId="0" fontId="180" fillId="0" borderId="0"/>
    <xf numFmtId="37" fontId="154" fillId="0" borderId="0"/>
    <xf numFmtId="0" fontId="9" fillId="0" borderId="0"/>
    <xf numFmtId="0" fontId="21" fillId="0" borderId="0"/>
    <xf numFmtId="0" fontId="21" fillId="0" borderId="0"/>
    <xf numFmtId="0" fontId="9" fillId="0" borderId="0"/>
    <xf numFmtId="0" fontId="21" fillId="0" borderId="0"/>
    <xf numFmtId="37" fontId="154" fillId="0" borderId="0"/>
    <xf numFmtId="0" fontId="9" fillId="0" borderId="0"/>
    <xf numFmtId="3" fontId="9" fillId="0" borderId="0"/>
    <xf numFmtId="0" fontId="21" fillId="0" borderId="0"/>
    <xf numFmtId="37" fontId="154" fillId="0" borderId="0"/>
    <xf numFmtId="0" fontId="9" fillId="0" borderId="0"/>
    <xf numFmtId="0" fontId="21" fillId="0" borderId="0"/>
    <xf numFmtId="0" fontId="21" fillId="0" borderId="0"/>
    <xf numFmtId="37" fontId="154" fillId="0" borderId="0"/>
    <xf numFmtId="0" fontId="21" fillId="0" borderId="0"/>
    <xf numFmtId="0" fontId="180" fillId="0" borderId="0"/>
    <xf numFmtId="3" fontId="9" fillId="0" borderId="0"/>
    <xf numFmtId="0" fontId="9" fillId="0" borderId="0"/>
    <xf numFmtId="0" fontId="9" fillId="0" borderId="0"/>
    <xf numFmtId="37" fontId="154" fillId="0" borderId="0"/>
    <xf numFmtId="3" fontId="9" fillId="0" borderId="0"/>
    <xf numFmtId="3" fontId="9" fillId="0" borderId="0"/>
    <xf numFmtId="0" fontId="9" fillId="0" borderId="0"/>
    <xf numFmtId="0" fontId="21" fillId="0" borderId="0"/>
    <xf numFmtId="0" fontId="9" fillId="0" borderId="0"/>
    <xf numFmtId="3" fontId="9" fillId="0" borderId="0"/>
    <xf numFmtId="3" fontId="9" fillId="0" borderId="0"/>
    <xf numFmtId="0" fontId="9" fillId="0" borderId="0"/>
    <xf numFmtId="0" fontId="180" fillId="0" borderId="0"/>
    <xf numFmtId="0" fontId="9" fillId="0" borderId="0"/>
    <xf numFmtId="0" fontId="9" fillId="0" borderId="0"/>
    <xf numFmtId="0" fontId="9" fillId="0" borderId="0"/>
    <xf numFmtId="3" fontId="9" fillId="0" borderId="0"/>
    <xf numFmtId="3" fontId="9" fillId="0" borderId="0"/>
    <xf numFmtId="0" fontId="9" fillId="0" borderId="0"/>
    <xf numFmtId="0" fontId="180" fillId="0" borderId="0"/>
    <xf numFmtId="0" fontId="9" fillId="0" borderId="0"/>
    <xf numFmtId="3" fontId="9" fillId="0" borderId="0"/>
    <xf numFmtId="3" fontId="9" fillId="0" borderId="0"/>
    <xf numFmtId="0" fontId="9" fillId="0" borderId="0"/>
    <xf numFmtId="0" fontId="180" fillId="0" borderId="0"/>
    <xf numFmtId="0" fontId="9" fillId="0" borderId="0"/>
    <xf numFmtId="3" fontId="9" fillId="0" borderId="0"/>
    <xf numFmtId="3" fontId="9" fillId="0" borderId="0"/>
    <xf numFmtId="0" fontId="9" fillId="0" borderId="0"/>
    <xf numFmtId="0" fontId="180" fillId="0" borderId="0"/>
    <xf numFmtId="0" fontId="9" fillId="0" borderId="0"/>
    <xf numFmtId="3" fontId="9" fillId="0" borderId="0"/>
    <xf numFmtId="3" fontId="9" fillId="0" borderId="0"/>
    <xf numFmtId="0" fontId="9" fillId="0" borderId="0"/>
    <xf numFmtId="37" fontId="154" fillId="0" borderId="0"/>
    <xf numFmtId="0" fontId="9" fillId="0" borderId="0"/>
    <xf numFmtId="0" fontId="9" fillId="0" borderId="0"/>
    <xf numFmtId="0" fontId="9" fillId="0" borderId="0"/>
    <xf numFmtId="0" fontId="9" fillId="0" borderId="0"/>
    <xf numFmtId="0" fontId="193" fillId="0" borderId="0"/>
    <xf numFmtId="0" fontId="115" fillId="0" borderId="0"/>
    <xf numFmtId="0" fontId="9" fillId="0" borderId="0"/>
    <xf numFmtId="0" fontId="9" fillId="0" borderId="0"/>
    <xf numFmtId="0" fontId="193" fillId="0" borderId="0"/>
    <xf numFmtId="0" fontId="193" fillId="0" borderId="0"/>
    <xf numFmtId="0" fontId="9" fillId="0" borderId="0"/>
    <xf numFmtId="37" fontId="154" fillId="0" borderId="0"/>
    <xf numFmtId="0" fontId="180" fillId="0" borderId="0"/>
    <xf numFmtId="0" fontId="9" fillId="0" borderId="0"/>
    <xf numFmtId="37" fontId="154" fillId="0" borderId="0"/>
    <xf numFmtId="3" fontId="9" fillId="0" borderId="0"/>
    <xf numFmtId="3" fontId="9" fillId="0" borderId="0"/>
    <xf numFmtId="0" fontId="9" fillId="0" borderId="0"/>
    <xf numFmtId="0" fontId="9" fillId="0" borderId="0"/>
    <xf numFmtId="3" fontId="9" fillId="0" borderId="0"/>
    <xf numFmtId="0" fontId="9" fillId="0" borderId="0"/>
    <xf numFmtId="0" fontId="9" fillId="0" borderId="0"/>
    <xf numFmtId="3" fontId="9" fillId="0" borderId="0"/>
    <xf numFmtId="0" fontId="9" fillId="0" borderId="0"/>
    <xf numFmtId="0" fontId="9" fillId="0" borderId="0"/>
    <xf numFmtId="3" fontId="9" fillId="0" borderId="0"/>
    <xf numFmtId="0" fontId="9" fillId="0" borderId="0"/>
    <xf numFmtId="0" fontId="9" fillId="0" borderId="0"/>
    <xf numFmtId="3" fontId="9" fillId="0" borderId="0"/>
    <xf numFmtId="0" fontId="9" fillId="0" borderId="0"/>
    <xf numFmtId="0" fontId="9" fillId="0" borderId="0"/>
    <xf numFmtId="3" fontId="9" fillId="0" borderId="0"/>
    <xf numFmtId="0" fontId="9" fillId="0" borderId="0"/>
    <xf numFmtId="0" fontId="9" fillId="0" borderId="0"/>
    <xf numFmtId="3" fontId="9" fillId="0" borderId="0"/>
    <xf numFmtId="0" fontId="9" fillId="0" borderId="0"/>
    <xf numFmtId="0" fontId="9" fillId="0" borderId="0"/>
    <xf numFmtId="0" fontId="1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5" fillId="0" borderId="0"/>
    <xf numFmtId="0" fontId="9" fillId="0" borderId="0"/>
    <xf numFmtId="3" fontId="9" fillId="0" borderId="0"/>
    <xf numFmtId="0" fontId="18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29" fillId="0" borderId="0"/>
    <xf numFmtId="0" fontId="9" fillId="0" borderId="0"/>
    <xf numFmtId="0" fontId="9" fillId="0" borderId="0"/>
    <xf numFmtId="0" fontId="140" fillId="0" borderId="0"/>
    <xf numFmtId="0" fontId="9" fillId="0" borderId="0"/>
    <xf numFmtId="0" fontId="140" fillId="0" borderId="0"/>
    <xf numFmtId="0" fontId="9" fillId="0" borderId="0"/>
    <xf numFmtId="0" fontId="142" fillId="0" borderId="0"/>
    <xf numFmtId="0" fontId="9" fillId="0" borderId="0"/>
    <xf numFmtId="0" fontId="143" fillId="0" borderId="0"/>
    <xf numFmtId="0" fontId="9" fillId="0" borderId="0"/>
    <xf numFmtId="0" fontId="177" fillId="0" borderId="0"/>
    <xf numFmtId="0" fontId="178" fillId="0" borderId="0"/>
    <xf numFmtId="0" fontId="179" fillId="0" borderId="0"/>
    <xf numFmtId="0" fontId="143" fillId="0" borderId="0"/>
    <xf numFmtId="0" fontId="9" fillId="0" borderId="0"/>
    <xf numFmtId="0" fontId="178" fillId="0" borderId="0"/>
    <xf numFmtId="0" fontId="179" fillId="0" borderId="0"/>
    <xf numFmtId="0" fontId="143" fillId="0" borderId="0"/>
    <xf numFmtId="0" fontId="177" fillId="0" borderId="0"/>
    <xf numFmtId="0" fontId="178" fillId="0" borderId="0"/>
    <xf numFmtId="0" fontId="179" fillId="0" borderId="0"/>
    <xf numFmtId="0" fontId="9" fillId="0" borderId="0"/>
    <xf numFmtId="0" fontId="9" fillId="0" borderId="0"/>
    <xf numFmtId="0" fontId="4" fillId="0" borderId="0"/>
    <xf numFmtId="0" fontId="10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5" fillId="0" borderId="0"/>
    <xf numFmtId="0" fontId="9" fillId="0" borderId="0"/>
    <xf numFmtId="0" fontId="9" fillId="0" borderId="0"/>
    <xf numFmtId="0" fontId="9" fillId="0" borderId="0"/>
    <xf numFmtId="0" fontId="143" fillId="0" borderId="0"/>
    <xf numFmtId="0" fontId="9" fillId="0" borderId="0"/>
    <xf numFmtId="0" fontId="178" fillId="0" borderId="0"/>
    <xf numFmtId="0" fontId="179" fillId="0" borderId="0"/>
    <xf numFmtId="0" fontId="9" fillId="0" borderId="0"/>
    <xf numFmtId="0" fontId="9" fillId="0" borderId="0"/>
    <xf numFmtId="0" fontId="9" fillId="0" borderId="0"/>
    <xf numFmtId="0" fontId="143" fillId="0" borderId="0"/>
    <xf numFmtId="0" fontId="9" fillId="0" borderId="0"/>
    <xf numFmtId="0" fontId="178" fillId="0" borderId="0"/>
    <xf numFmtId="0" fontId="179" fillId="0" borderId="0"/>
    <xf numFmtId="0" fontId="9" fillId="0" borderId="0"/>
    <xf numFmtId="0" fontId="9" fillId="0" borderId="0"/>
    <xf numFmtId="0" fontId="9" fillId="0" borderId="0"/>
    <xf numFmtId="0" fontId="143" fillId="0" borderId="0"/>
    <xf numFmtId="0" fontId="9" fillId="0" borderId="0"/>
    <xf numFmtId="0" fontId="178" fillId="0" borderId="0"/>
    <xf numFmtId="0" fontId="179" fillId="0" borderId="0"/>
    <xf numFmtId="0" fontId="9" fillId="0" borderId="0"/>
    <xf numFmtId="0" fontId="9" fillId="0" borderId="0"/>
    <xf numFmtId="0" fontId="9" fillId="0" borderId="0"/>
    <xf numFmtId="0" fontId="143" fillId="0" borderId="0"/>
    <xf numFmtId="0" fontId="9" fillId="0" borderId="0"/>
    <xf numFmtId="0" fontId="178" fillId="0" borderId="0"/>
    <xf numFmtId="0" fontId="179" fillId="0" borderId="0"/>
    <xf numFmtId="0" fontId="9" fillId="0" borderId="0"/>
    <xf numFmtId="3" fontId="179" fillId="0" borderId="0"/>
    <xf numFmtId="3" fontId="9" fillId="0" borderId="0"/>
    <xf numFmtId="0" fontId="9" fillId="0" borderId="0"/>
    <xf numFmtId="0" fontId="21" fillId="0" borderId="0"/>
    <xf numFmtId="0" fontId="9" fillId="0" borderId="0"/>
    <xf numFmtId="0" fontId="21" fillId="0" borderId="0"/>
    <xf numFmtId="0" fontId="9" fillId="0" borderId="0"/>
    <xf numFmtId="0" fontId="21" fillId="0" borderId="0"/>
    <xf numFmtId="0" fontId="21" fillId="0" borderId="0"/>
    <xf numFmtId="3" fontId="9" fillId="0" borderId="0"/>
    <xf numFmtId="0" fontId="21" fillId="0" borderId="0"/>
    <xf numFmtId="3" fontId="9" fillId="0" borderId="0"/>
    <xf numFmtId="3" fontId="9" fillId="0" borderId="0"/>
    <xf numFmtId="0" fontId="9" fillId="0" borderId="0"/>
    <xf numFmtId="0" fontId="9" fillId="0" borderId="0"/>
    <xf numFmtId="0" fontId="9" fillId="0" borderId="0"/>
    <xf numFmtId="3" fontId="9" fillId="0" borderId="0"/>
    <xf numFmtId="0" fontId="180" fillId="0" borderId="0"/>
    <xf numFmtId="0" fontId="21" fillId="0" borderId="0"/>
    <xf numFmtId="0" fontId="9" fillId="0" borderId="0"/>
    <xf numFmtId="0" fontId="9" fillId="0" borderId="0"/>
    <xf numFmtId="0" fontId="9" fillId="0" borderId="0"/>
    <xf numFmtId="0" fontId="180" fillId="0" borderId="0"/>
    <xf numFmtId="200" fontId="154" fillId="0" borderId="0"/>
    <xf numFmtId="0" fontId="180" fillId="0" borderId="0"/>
    <xf numFmtId="0" fontId="9" fillId="0" borderId="0"/>
    <xf numFmtId="0" fontId="9" fillId="0" borderId="0"/>
    <xf numFmtId="0" fontId="180" fillId="0" borderId="0"/>
    <xf numFmtId="37" fontId="154" fillId="0" borderId="0"/>
    <xf numFmtId="0" fontId="180" fillId="0" borderId="0"/>
    <xf numFmtId="0" fontId="21" fillId="0" borderId="0"/>
    <xf numFmtId="0" fontId="9" fillId="0" borderId="0"/>
    <xf numFmtId="0" fontId="21" fillId="0" borderId="0"/>
    <xf numFmtId="0" fontId="180" fillId="0" borderId="0"/>
    <xf numFmtId="0" fontId="9" fillId="0" borderId="0"/>
    <xf numFmtId="0" fontId="180" fillId="0" borderId="0"/>
    <xf numFmtId="0" fontId="21" fillId="0" borderId="0"/>
    <xf numFmtId="0" fontId="9" fillId="0" borderId="0"/>
    <xf numFmtId="0" fontId="180" fillId="0" borderId="0"/>
    <xf numFmtId="0" fontId="9" fillId="0" borderId="0"/>
    <xf numFmtId="0" fontId="1" fillId="0" borderId="0"/>
    <xf numFmtId="0" fontId="142" fillId="0" borderId="0"/>
    <xf numFmtId="0" fontId="2" fillId="0" borderId="0" applyProtection="0"/>
    <xf numFmtId="0" fontId="1" fillId="0" borderId="0"/>
    <xf numFmtId="0" fontId="9" fillId="0" borderId="0"/>
    <xf numFmtId="0" fontId="129" fillId="0" borderId="0"/>
    <xf numFmtId="0" fontId="9" fillId="0" borderId="0"/>
    <xf numFmtId="0" fontId="142" fillId="0" borderId="0"/>
    <xf numFmtId="0" fontId="178" fillId="0" borderId="0"/>
    <xf numFmtId="0" fontId="1" fillId="0" borderId="0"/>
    <xf numFmtId="0" fontId="142" fillId="0" borderId="0"/>
    <xf numFmtId="172" fontId="2" fillId="0" borderId="0" applyProtection="0"/>
    <xf numFmtId="0" fontId="56" fillId="0" borderId="0"/>
    <xf numFmtId="172" fontId="2" fillId="0" borderId="0" applyProtection="0"/>
    <xf numFmtId="0" fontId="1" fillId="0" borderId="0"/>
    <xf numFmtId="0" fontId="142" fillId="0" borderId="0"/>
    <xf numFmtId="0" fontId="2" fillId="6" borderId="13" applyNumberFormat="0" applyFont="0" applyAlignment="0" applyProtection="0"/>
    <xf numFmtId="0" fontId="9" fillId="6" borderId="13" applyNumberFormat="0" applyFont="0" applyAlignment="0" applyProtection="0"/>
    <xf numFmtId="0" fontId="94" fillId="64" borderId="69" applyNumberFormat="0" applyFont="0" applyAlignment="0" applyProtection="0"/>
    <xf numFmtId="0" fontId="94" fillId="64" borderId="69" applyNumberFormat="0" applyFont="0" applyAlignment="0" applyProtection="0"/>
    <xf numFmtId="0" fontId="9" fillId="6" borderId="13" applyNumberFormat="0" applyFont="0" applyAlignment="0" applyProtection="0"/>
    <xf numFmtId="0" fontId="94" fillId="64" borderId="69" applyNumberFormat="0" applyFont="0" applyAlignment="0" applyProtection="0"/>
    <xf numFmtId="0" fontId="94" fillId="64" borderId="69" applyNumberFormat="0" applyFont="0" applyAlignment="0" applyProtection="0"/>
    <xf numFmtId="0" fontId="9" fillId="6" borderId="3" applyNumberFormat="0" applyFont="0" applyAlignment="0" applyProtection="0"/>
    <xf numFmtId="0" fontId="94" fillId="64" borderId="69" applyNumberFormat="0" applyFont="0" applyAlignment="0" applyProtection="0"/>
    <xf numFmtId="0" fontId="2" fillId="6" borderId="13" applyNumberFormat="0" applyFont="0" applyAlignment="0" applyProtection="0"/>
    <xf numFmtId="0" fontId="9" fillId="6" borderId="13" applyNumberFormat="0" applyFont="0" applyAlignment="0" applyProtection="0"/>
    <xf numFmtId="0" fontId="94" fillId="64" borderId="69" applyNumberFormat="0" applyFont="0" applyAlignment="0" applyProtection="0"/>
    <xf numFmtId="0" fontId="9" fillId="6" borderId="3" applyNumberFormat="0" applyFont="0" applyAlignment="0" applyProtection="0"/>
    <xf numFmtId="0" fontId="9" fillId="6" borderId="13" applyNumberFormat="0" applyFont="0" applyAlignment="0" applyProtection="0"/>
    <xf numFmtId="0" fontId="9" fillId="6" borderId="13" applyNumberFormat="0" applyFont="0" applyAlignment="0" applyProtection="0"/>
    <xf numFmtId="0" fontId="153" fillId="64" borderId="69" applyNumberFormat="0" applyFont="0" applyAlignment="0" applyProtection="0"/>
    <xf numFmtId="0" fontId="155" fillId="6" borderId="13" applyNumberFormat="0" applyFont="0" applyAlignment="0" applyProtection="0"/>
    <xf numFmtId="0" fontId="2" fillId="6" borderId="13" applyNumberFormat="0" applyFont="0" applyAlignment="0" applyProtection="0"/>
    <xf numFmtId="0" fontId="153" fillId="64" borderId="69" applyNumberFormat="0" applyFont="0" applyAlignment="0" applyProtection="0"/>
    <xf numFmtId="0" fontId="176" fillId="64" borderId="69" applyNumberFormat="0" applyFont="0" applyAlignment="0" applyProtection="0"/>
    <xf numFmtId="200" fontId="56" fillId="0" borderId="0" applyProtection="0"/>
    <xf numFmtId="0" fontId="46" fillId="3" borderId="14" applyNumberFormat="0" applyAlignment="0" applyProtection="0"/>
    <xf numFmtId="0" fontId="111" fillId="3" borderId="14" applyNumberFormat="0" applyAlignment="0" applyProtection="0"/>
    <xf numFmtId="0" fontId="111" fillId="3" borderId="14" applyNumberFormat="0" applyAlignment="0" applyProtection="0"/>
    <xf numFmtId="0" fontId="194" fillId="59" borderId="70" applyNumberFormat="0" applyAlignment="0" applyProtection="0"/>
    <xf numFmtId="0" fontId="46" fillId="3" borderId="14" applyNumberFormat="0" applyAlignment="0" applyProtection="0"/>
    <xf numFmtId="0" fontId="111" fillId="3" borderId="14" applyNumberFormat="0" applyAlignment="0" applyProtection="0"/>
    <xf numFmtId="0" fontId="194" fillId="59" borderId="70" applyNumberFormat="0" applyAlignment="0" applyProtection="0"/>
    <xf numFmtId="0" fontId="172" fillId="3" borderId="14" applyNumberFormat="0" applyAlignment="0" applyProtection="0"/>
    <xf numFmtId="0" fontId="46" fillId="3" borderId="14" applyNumberFormat="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9" fillId="0" borderId="0" applyFont="0" applyFill="0" applyBorder="0" applyAlignment="0" applyProtection="0"/>
    <xf numFmtId="9" fontId="15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12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0" fillId="0" borderId="0" applyFont="0" applyFill="0" applyBorder="0" applyAlignment="0" applyProtection="0"/>
    <xf numFmtId="9" fontId="9" fillId="0" borderId="0" applyFont="0" applyFill="0" applyBorder="0" applyAlignment="0" applyProtection="0"/>
    <xf numFmtId="9" fontId="140" fillId="0" borderId="0" applyFont="0" applyFill="0" applyBorder="0" applyAlignment="0" applyProtection="0"/>
    <xf numFmtId="9" fontId="9" fillId="0" borderId="0" applyFont="0" applyFill="0" applyBorder="0" applyAlignment="0" applyProtection="0"/>
    <xf numFmtId="9" fontId="142"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7"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143" fillId="0" borderId="0" applyFont="0" applyFill="0" applyBorder="0" applyAlignment="0" applyProtection="0"/>
    <xf numFmtId="9" fontId="15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7"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1" fillId="0" borderId="0" applyFont="0" applyFill="0" applyBorder="0" applyAlignment="0" applyProtection="0"/>
    <xf numFmtId="9" fontId="12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0" fillId="0" borderId="0" applyFont="0" applyFill="0" applyBorder="0" applyAlignment="0" applyProtection="0"/>
    <xf numFmtId="9" fontId="9" fillId="0" borderId="0" applyFont="0" applyFill="0" applyBorder="0" applyAlignment="0" applyProtection="0"/>
    <xf numFmtId="9" fontId="140" fillId="0" borderId="0" applyFont="0" applyFill="0" applyBorder="0" applyAlignment="0" applyProtection="0"/>
    <xf numFmtId="9" fontId="9" fillId="0" borderId="0" applyFont="0" applyFill="0" applyBorder="0" applyAlignment="0" applyProtection="0"/>
    <xf numFmtId="9" fontId="142"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7"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143" fillId="0" borderId="0" applyFont="0" applyFill="0" applyBorder="0" applyAlignment="0" applyProtection="0"/>
    <xf numFmtId="9" fontId="177"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0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0"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10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0"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120"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49" fillId="0" borderId="0" applyFont="0" applyFill="0" applyBorder="0" applyAlignment="0" applyProtection="0"/>
    <xf numFmtId="9" fontId="94" fillId="0" borderId="0" applyFont="0" applyFill="0" applyBorder="0" applyAlignment="0" applyProtection="0"/>
    <xf numFmtId="9" fontId="176"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4"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9" fillId="0" borderId="0" applyFont="0" applyFill="0" applyBorder="0" applyAlignment="0" applyProtection="0"/>
    <xf numFmtId="9" fontId="9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78" fillId="0" borderId="0" applyFont="0" applyFill="0" applyBorder="0" applyAlignment="0" applyProtection="0"/>
    <xf numFmtId="9" fontId="179" fillId="0" borderId="0" applyFont="0" applyFill="0" applyBorder="0" applyAlignment="0" applyProtection="0"/>
    <xf numFmtId="9" fontId="9" fillId="0" borderId="0" applyFont="0" applyFill="0" applyBorder="0" applyAlignment="0" applyProtection="0"/>
    <xf numFmtId="0" fontId="21" fillId="0" borderId="0" applyNumberFormat="0" applyFont="0" applyFill="0" applyBorder="0" applyAlignment="0" applyProtection="0">
      <alignment horizontal="left"/>
    </xf>
    <xf numFmtId="0" fontId="21" fillId="0" borderId="0" applyNumberFormat="0" applyFont="0" applyFill="0" applyBorder="0" applyAlignment="0" applyProtection="0">
      <alignment horizontal="left"/>
    </xf>
    <xf numFmtId="0" fontId="21" fillId="0" borderId="0" applyNumberFormat="0" applyFont="0" applyFill="0" applyBorder="0" applyAlignment="0" applyProtection="0">
      <alignment horizontal="left"/>
    </xf>
    <xf numFmtId="0" fontId="21" fillId="0" borderId="0" applyNumberFormat="0" applyFont="0" applyFill="0" applyBorder="0" applyAlignment="0" applyProtection="0">
      <alignment horizontal="left"/>
    </xf>
    <xf numFmtId="0" fontId="21" fillId="0" borderId="0" applyNumberFormat="0" applyFont="0" applyFill="0" applyBorder="0" applyAlignment="0" applyProtection="0">
      <alignment horizontal="left"/>
    </xf>
    <xf numFmtId="0" fontId="21" fillId="0" borderId="0" applyNumberFormat="0" applyFont="0" applyFill="0" applyBorder="0" applyAlignment="0" applyProtection="0">
      <alignment horizontal="left"/>
    </xf>
    <xf numFmtId="0" fontId="21" fillId="0" borderId="0" applyNumberFormat="0" applyFont="0" applyFill="0" applyBorder="0" applyAlignment="0" applyProtection="0">
      <alignment horizontal="left"/>
    </xf>
    <xf numFmtId="0" fontId="21" fillId="0" borderId="0" applyNumberFormat="0" applyFont="0" applyFill="0" applyBorder="0" applyAlignment="0" applyProtection="0">
      <alignment horizontal="left"/>
    </xf>
    <xf numFmtId="15" fontId="21" fillId="0" borderId="0" applyFont="0" applyFill="0" applyBorder="0" applyAlignment="0" applyProtection="0"/>
    <xf numFmtId="15" fontId="21" fillId="0" borderId="0" applyFont="0" applyFill="0" applyBorder="0" applyAlignment="0" applyProtection="0"/>
    <xf numFmtId="15" fontId="21" fillId="0" borderId="0" applyFont="0" applyFill="0" applyBorder="0" applyAlignment="0" applyProtection="0"/>
    <xf numFmtId="15" fontId="21" fillId="0" borderId="0" applyFont="0" applyFill="0" applyBorder="0" applyAlignment="0" applyProtection="0"/>
    <xf numFmtId="15" fontId="21" fillId="0" borderId="0" applyFont="0" applyFill="0" applyBorder="0" applyAlignment="0" applyProtection="0"/>
    <xf numFmtId="15" fontId="21" fillId="0" borderId="0" applyFont="0" applyFill="0" applyBorder="0" applyAlignment="0" applyProtection="0"/>
    <xf numFmtId="15" fontId="21" fillId="0" borderId="0" applyFont="0" applyFill="0" applyBorder="0" applyAlignment="0" applyProtection="0"/>
    <xf numFmtId="15"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3" fontId="9" fillId="0" borderId="0">
      <alignment horizontal="left" vertical="top"/>
    </xf>
    <xf numFmtId="3" fontId="9" fillId="0" borderId="0">
      <alignment horizontal="left" vertical="top"/>
    </xf>
    <xf numFmtId="0" fontId="22" fillId="0" borderId="11">
      <alignment horizontal="center"/>
    </xf>
    <xf numFmtId="0" fontId="22" fillId="0" borderId="11">
      <alignment horizontal="center"/>
    </xf>
    <xf numFmtId="0" fontId="22" fillId="0" borderId="11">
      <alignment horizontal="center"/>
    </xf>
    <xf numFmtId="0" fontId="22" fillId="0" borderId="11">
      <alignment horizontal="center"/>
    </xf>
    <xf numFmtId="0" fontId="22" fillId="0" borderId="11">
      <alignment horizontal="center"/>
    </xf>
    <xf numFmtId="0" fontId="22" fillId="0" borderId="11">
      <alignment horizontal="center"/>
    </xf>
    <xf numFmtId="0" fontId="22" fillId="0" borderId="11">
      <alignment horizontal="center"/>
    </xf>
    <xf numFmtId="0" fontId="22" fillId="0" borderId="11">
      <alignment horizontal="center"/>
    </xf>
    <xf numFmtId="0" fontId="22" fillId="0" borderId="11">
      <alignment horizontal="center"/>
    </xf>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27" borderId="0" applyNumberFormat="0" applyFont="0" applyBorder="0" applyAlignment="0" applyProtection="0"/>
    <xf numFmtId="0" fontId="21" fillId="27" borderId="0" applyNumberFormat="0" applyFont="0" applyBorder="0" applyAlignment="0" applyProtection="0"/>
    <xf numFmtId="0" fontId="21" fillId="27" borderId="0" applyNumberFormat="0" applyFont="0" applyBorder="0" applyAlignment="0" applyProtection="0"/>
    <xf numFmtId="0" fontId="21" fillId="27" borderId="0" applyNumberFormat="0" applyFont="0" applyBorder="0" applyAlignment="0" applyProtection="0"/>
    <xf numFmtId="0" fontId="21" fillId="27" borderId="0" applyNumberFormat="0" applyFont="0" applyBorder="0" applyAlignment="0" applyProtection="0"/>
    <xf numFmtId="3" fontId="9" fillId="0" borderId="0">
      <alignment horizontal="right" vertical="top"/>
    </xf>
    <xf numFmtId="3" fontId="9" fillId="0" borderId="0">
      <alignment horizontal="right" vertical="top"/>
    </xf>
    <xf numFmtId="41" fontId="4" fillId="28" borderId="15" applyFill="0"/>
    <xf numFmtId="0" fontId="47" fillId="0" borderId="0">
      <alignment horizontal="left" indent="7"/>
    </xf>
    <xf numFmtId="41" fontId="4" fillId="0" borderId="15" applyFill="0">
      <alignment horizontal="left" indent="2"/>
    </xf>
    <xf numFmtId="172" fontId="18" fillId="0" borderId="16" applyFill="0">
      <alignment horizontal="right"/>
    </xf>
    <xf numFmtId="0" fontId="6" fillId="0" borderId="17" applyNumberFormat="0" applyFont="0" applyBorder="0">
      <alignment horizontal="right"/>
    </xf>
    <xf numFmtId="0" fontId="48" fillId="0" borderId="0" applyFill="0"/>
    <xf numFmtId="0" fontId="5" fillId="0" borderId="0" applyFill="0"/>
    <xf numFmtId="4" fontId="18" fillId="0" borderId="16" applyFill="0"/>
    <xf numFmtId="0" fontId="9" fillId="0" borderId="0" applyNumberFormat="0" applyFont="0" applyBorder="0" applyAlignment="0"/>
    <xf numFmtId="0" fontId="9" fillId="0" borderId="0" applyNumberFormat="0" applyFont="0" applyBorder="0" applyAlignment="0"/>
    <xf numFmtId="0" fontId="30" fillId="0" borderId="0" applyFill="0">
      <alignment horizontal="left" indent="1"/>
    </xf>
    <xf numFmtId="0" fontId="49" fillId="0" borderId="0" applyFill="0">
      <alignment horizontal="left" indent="1"/>
    </xf>
    <xf numFmtId="4" fontId="17" fillId="0" borderId="0" applyFill="0"/>
    <xf numFmtId="0" fontId="9" fillId="0" borderId="0" applyNumberFormat="0" applyFont="0" applyFill="0" applyBorder="0" applyAlignment="0"/>
    <xf numFmtId="0" fontId="9" fillId="0" borderId="0" applyNumberFormat="0" applyFont="0" applyFill="0" applyBorder="0" applyAlignment="0"/>
    <xf numFmtId="0" fontId="30" fillId="0" borderId="0" applyFill="0">
      <alignment horizontal="left" indent="2"/>
    </xf>
    <xf numFmtId="0" fontId="5" fillId="0" borderId="0" applyFill="0">
      <alignment horizontal="left" indent="2"/>
    </xf>
    <xf numFmtId="4" fontId="17" fillId="0" borderId="0" applyFill="0"/>
    <xf numFmtId="0" fontId="9" fillId="0" borderId="0" applyNumberFormat="0" applyFont="0" applyBorder="0" applyAlignment="0"/>
    <xf numFmtId="0" fontId="9" fillId="0" borderId="0" applyNumberFormat="0" applyFont="0" applyBorder="0" applyAlignment="0"/>
    <xf numFmtId="0" fontId="50" fillId="0" borderId="0">
      <alignment horizontal="left" indent="3"/>
    </xf>
    <xf numFmtId="0" fontId="51" fillId="0" borderId="0" applyFill="0">
      <alignment horizontal="left" indent="3"/>
    </xf>
    <xf numFmtId="4" fontId="17" fillId="0" borderId="0" applyFill="0"/>
    <xf numFmtId="0" fontId="9" fillId="0" borderId="0" applyNumberFormat="0" applyFont="0" applyBorder="0" applyAlignment="0"/>
    <xf numFmtId="0" fontId="9" fillId="0" borderId="0" applyNumberFormat="0" applyFont="0" applyBorder="0" applyAlignment="0"/>
    <xf numFmtId="0" fontId="13" fillId="0" borderId="0">
      <alignment horizontal="left" indent="4"/>
    </xf>
    <xf numFmtId="0" fontId="9" fillId="0" borderId="0" applyFill="0">
      <alignment horizontal="left" indent="4"/>
    </xf>
    <xf numFmtId="0" fontId="9" fillId="0" borderId="0" applyFill="0">
      <alignment horizontal="left" indent="4"/>
    </xf>
    <xf numFmtId="4" fontId="31" fillId="0" borderId="0" applyFill="0"/>
    <xf numFmtId="0" fontId="9" fillId="0" borderId="0" applyNumberFormat="0" applyFont="0" applyBorder="0" applyAlignment="0"/>
    <xf numFmtId="0" fontId="9" fillId="0" borderId="0" applyNumberFormat="0" applyFont="0" applyBorder="0" applyAlignment="0"/>
    <xf numFmtId="0" fontId="32" fillId="0" borderId="0">
      <alignment horizontal="left" indent="5"/>
    </xf>
    <xf numFmtId="0" fontId="33" fillId="0" borderId="0" applyFill="0">
      <alignment horizontal="left" indent="5"/>
    </xf>
    <xf numFmtId="4" fontId="34" fillId="0" borderId="0" applyFill="0"/>
    <xf numFmtId="0" fontId="9" fillId="0" borderId="0" applyNumberFormat="0" applyFont="0" applyFill="0" applyBorder="0" applyAlignment="0"/>
    <xf numFmtId="0" fontId="9" fillId="0" borderId="0" applyNumberFormat="0" applyFont="0" applyFill="0" applyBorder="0" applyAlignment="0"/>
    <xf numFmtId="0" fontId="35" fillId="0" borderId="0" applyFill="0">
      <alignment horizontal="left" indent="6"/>
    </xf>
    <xf numFmtId="0" fontId="31" fillId="0" borderId="0" applyFill="0">
      <alignment horizontal="left" indent="6"/>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6" fillId="0" borderId="0" applyNumberFormat="0" applyFill="0" applyBorder="0" applyAlignment="0" applyProtection="0"/>
    <xf numFmtId="0" fontId="52" fillId="0" borderId="0" applyNumberFormat="0" applyFill="0" applyBorder="0" applyAlignment="0" applyProtection="0"/>
    <xf numFmtId="0" fontId="195" fillId="0" borderId="0" applyNumberFormat="0" applyFill="0" applyBorder="0" applyAlignment="0" applyProtection="0"/>
    <xf numFmtId="0" fontId="173" fillId="0" borderId="0" applyNumberFormat="0" applyFill="0" applyBorder="0" applyAlignment="0" applyProtection="0"/>
    <xf numFmtId="0" fontId="196" fillId="0" borderId="0" applyNumberFormat="0" applyFill="0" applyBorder="0" applyAlignment="0" applyProtection="0"/>
    <xf numFmtId="0" fontId="52" fillId="0" borderId="0" applyNumberFormat="0" applyFill="0" applyBorder="0" applyAlignment="0" applyProtection="0"/>
    <xf numFmtId="0" fontId="195" fillId="0" borderId="0" applyNumberFormat="0" applyFill="0" applyBorder="0" applyAlignment="0" applyProtection="0"/>
    <xf numFmtId="0" fontId="9" fillId="0" borderId="0" applyFont="0" applyFill="0" applyBorder="0" applyAlignment="0" applyProtection="0"/>
    <xf numFmtId="0" fontId="102" fillId="0" borderId="1" applyNumberFormat="0" applyFont="0" applyFill="0" applyAlignment="0" applyProtection="0"/>
    <xf numFmtId="0" fontId="102" fillId="0" borderId="1" applyNumberFormat="0" applyFont="0" applyFill="0" applyAlignment="0" applyProtection="0"/>
    <xf numFmtId="0" fontId="197" fillId="0" borderId="71" applyNumberFormat="0" applyFill="0" applyAlignment="0" applyProtection="0"/>
    <xf numFmtId="0" fontId="9" fillId="0" borderId="0" applyFont="0" applyFill="0" applyBorder="0" applyAlignment="0" applyProtection="0"/>
    <xf numFmtId="0" fontId="102" fillId="0" borderId="1" applyNumberFormat="0" applyFont="0" applyFill="0" applyAlignment="0" applyProtection="0"/>
    <xf numFmtId="0" fontId="197" fillId="0" borderId="71" applyNumberFormat="0" applyFill="0" applyAlignment="0" applyProtection="0"/>
    <xf numFmtId="0" fontId="152" fillId="0" borderId="19" applyNumberFormat="0" applyFill="0" applyAlignment="0" applyProtection="0"/>
    <xf numFmtId="0" fontId="102" fillId="0" borderId="1" applyNumberFormat="0" applyFont="0" applyFill="0" applyAlignment="0" applyProtection="0"/>
    <xf numFmtId="0" fontId="102" fillId="0" borderId="1" applyNumberFormat="0" applyFont="0" applyFill="0" applyAlignment="0" applyProtection="0"/>
    <xf numFmtId="0" fontId="102" fillId="0" borderId="1" applyNumberFormat="0" applyFont="0" applyFill="0" applyAlignment="0" applyProtection="0"/>
    <xf numFmtId="0" fontId="152" fillId="0" borderId="18" applyNumberFormat="0" applyFill="0" applyAlignment="0" applyProtection="0"/>
    <xf numFmtId="0" fontId="9" fillId="0" borderId="0" applyFont="0" applyFill="0" applyBorder="0" applyAlignment="0" applyProtection="0"/>
    <xf numFmtId="0" fontId="53"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98" fillId="0" borderId="0" applyNumberFormat="0" applyFill="0" applyBorder="0" applyAlignment="0" applyProtection="0"/>
    <xf numFmtId="0" fontId="53" fillId="0" borderId="0" applyNumberFormat="0" applyFill="0" applyBorder="0" applyAlignment="0" applyProtection="0"/>
    <xf numFmtId="0" fontId="112" fillId="0" borderId="0" applyNumberFormat="0" applyFill="0" applyBorder="0" applyAlignment="0" applyProtection="0"/>
    <xf numFmtId="0" fontId="198" fillId="0" borderId="0" applyNumberFormat="0" applyFill="0" applyBorder="0" applyAlignment="0" applyProtection="0"/>
    <xf numFmtId="0" fontId="174" fillId="0" borderId="0" applyNumberFormat="0" applyFill="0" applyBorder="0" applyAlignment="0" applyProtection="0"/>
    <xf numFmtId="0" fontId="53" fillId="0" borderId="0" applyNumberFormat="0" applyFill="0" applyBorder="0" applyAlignment="0" applyProtection="0"/>
  </cellStyleXfs>
  <cellXfs count="1615">
    <xf numFmtId="0" fontId="0" fillId="0" borderId="0" xfId="0"/>
    <xf numFmtId="0" fontId="2" fillId="0" borderId="0" xfId="1689" applyNumberFormat="1" applyFont="1" applyFill="1"/>
    <xf numFmtId="3" fontId="4" fillId="0" borderId="0" xfId="1689" applyNumberFormat="1" applyFont="1" applyFill="1" applyAlignment="1"/>
    <xf numFmtId="172" fontId="2" fillId="0" borderId="0" xfId="1689" applyFont="1" applyFill="1" applyAlignment="1"/>
    <xf numFmtId="172" fontId="5" fillId="0" borderId="0" xfId="1689" applyFont="1" applyFill="1" applyAlignment="1" applyProtection="1">
      <protection locked="0"/>
    </xf>
    <xf numFmtId="172" fontId="4" fillId="0" borderId="0" xfId="1689" applyFont="1" applyFill="1" applyAlignment="1" applyProtection="1">
      <protection locked="0"/>
    </xf>
    <xf numFmtId="3" fontId="4" fillId="0" borderId="0" xfId="1689" applyNumberFormat="1" applyFont="1" applyAlignment="1" applyProtection="1">
      <protection locked="0"/>
    </xf>
    <xf numFmtId="0" fontId="4" fillId="0" borderId="0" xfId="1689" applyNumberFormat="1" applyFont="1" applyFill="1" applyProtection="1">
      <protection locked="0"/>
    </xf>
    <xf numFmtId="3" fontId="4" fillId="0" borderId="0" xfId="1689" applyNumberFormat="1" applyFont="1" applyFill="1" applyAlignment="1" applyProtection="1">
      <protection locked="0"/>
    </xf>
    <xf numFmtId="3" fontId="4" fillId="0" borderId="0" xfId="1689" applyNumberFormat="1" applyFont="1" applyFill="1" applyBorder="1" applyAlignment="1" applyProtection="1">
      <alignment horizontal="center"/>
      <protection locked="0"/>
    </xf>
    <xf numFmtId="3" fontId="4" fillId="0" borderId="0" xfId="1689" applyNumberFormat="1" applyFont="1" applyFill="1" applyAlignment="1" applyProtection="1">
      <alignment vertical="center" wrapText="1"/>
      <protection locked="0"/>
    </xf>
    <xf numFmtId="3" fontId="4" fillId="0" borderId="0" xfId="1689" applyNumberFormat="1" applyFont="1" applyFill="1" applyAlignment="1" applyProtection="1">
      <alignment horizontal="center"/>
      <protection locked="0"/>
    </xf>
    <xf numFmtId="165" fontId="4" fillId="0" borderId="0" xfId="1689" applyNumberFormat="1" applyFont="1" applyFill="1" applyAlignment="1" applyProtection="1">
      <alignment horizontal="right"/>
      <protection locked="0"/>
    </xf>
    <xf numFmtId="172" fontId="4" fillId="0" borderId="0" xfId="1689" applyFont="1" applyBorder="1" applyAlignment="1" applyProtection="1">
      <protection locked="0"/>
    </xf>
    <xf numFmtId="0" fontId="4" fillId="0" borderId="0" xfId="1689" applyNumberFormat="1" applyFont="1" applyFill="1" applyAlignment="1" applyProtection="1">
      <protection locked="0"/>
    </xf>
    <xf numFmtId="172" fontId="4" fillId="0" borderId="0" xfId="1689" applyFont="1" applyFill="1" applyAlignment="1"/>
    <xf numFmtId="0" fontId="4" fillId="0" borderId="0" xfId="1689" applyNumberFormat="1" applyFont="1" applyFill="1" applyBorder="1" applyAlignment="1" applyProtection="1">
      <protection locked="0"/>
    </xf>
    <xf numFmtId="164" fontId="4" fillId="0" borderId="0" xfId="1689" applyNumberFormat="1" applyFont="1" applyFill="1" applyBorder="1" applyAlignment="1" applyProtection="1">
      <alignment horizontal="left"/>
      <protection locked="0"/>
    </xf>
    <xf numFmtId="10" fontId="4" fillId="0" borderId="0" xfId="1689" applyNumberFormat="1" applyFont="1" applyFill="1" applyAlignment="1" applyProtection="1">
      <alignment horizontal="left"/>
      <protection locked="0"/>
    </xf>
    <xf numFmtId="0" fontId="5" fillId="0" borderId="0" xfId="1689" applyNumberFormat="1" applyFont="1" applyFill="1" applyAlignment="1" applyProtection="1">
      <protection locked="0"/>
    </xf>
    <xf numFmtId="0" fontId="4" fillId="0" borderId="0" xfId="1689" applyNumberFormat="1" applyFont="1" applyFill="1" applyBorder="1" applyProtection="1">
      <protection locked="0"/>
    </xf>
    <xf numFmtId="3" fontId="4" fillId="0" borderId="0" xfId="1689" applyNumberFormat="1" applyFont="1" applyFill="1" applyBorder="1" applyAlignment="1" applyProtection="1">
      <protection locked="0"/>
    </xf>
    <xf numFmtId="172" fontId="4" fillId="0" borderId="0" xfId="1689" applyFont="1" applyFill="1" applyBorder="1" applyAlignment="1" applyProtection="1">
      <protection locked="0"/>
    </xf>
    <xf numFmtId="172" fontId="4" fillId="0" borderId="0" xfId="1689" applyFont="1" applyFill="1" applyBorder="1" applyAlignment="1" applyProtection="1">
      <alignment horizontal="center"/>
      <protection locked="0"/>
    </xf>
    <xf numFmtId="49" fontId="4" fillId="0" borderId="0" xfId="1689" applyNumberFormat="1" applyFont="1" applyFill="1" applyBorder="1" applyProtection="1">
      <protection locked="0"/>
    </xf>
    <xf numFmtId="0" fontId="4" fillId="0" borderId="0" xfId="1689" applyNumberFormat="1" applyFont="1" applyFill="1" applyBorder="1" applyAlignment="1" applyProtection="1">
      <alignment horizontal="center"/>
      <protection locked="0"/>
    </xf>
    <xf numFmtId="49" fontId="4" fillId="0" borderId="0" xfId="1689" applyNumberFormat="1" applyFont="1" applyFill="1" applyBorder="1" applyAlignment="1" applyProtection="1">
      <protection locked="0"/>
    </xf>
    <xf numFmtId="49" fontId="4" fillId="0" borderId="0" xfId="1689" applyNumberFormat="1" applyFont="1" applyFill="1" applyBorder="1" applyAlignment="1" applyProtection="1">
      <alignment horizontal="center"/>
      <protection locked="0"/>
    </xf>
    <xf numFmtId="3" fontId="5" fillId="0" borderId="0" xfId="1689" applyNumberFormat="1" applyFont="1" applyFill="1" applyBorder="1" applyAlignment="1" applyProtection="1">
      <protection locked="0"/>
    </xf>
    <xf numFmtId="165" fontId="5" fillId="0" borderId="0" xfId="1689" applyNumberFormat="1" applyFont="1" applyFill="1" applyBorder="1" applyAlignment="1" applyProtection="1">
      <alignment horizontal="right"/>
      <protection locked="0"/>
    </xf>
    <xf numFmtId="0" fontId="4" fillId="0" borderId="0" xfId="1689" applyNumberFormat="1" applyFont="1" applyFill="1" applyAlignment="1" applyProtection="1">
      <alignment horizontal="center"/>
      <protection locked="0"/>
    </xf>
    <xf numFmtId="166" fontId="5" fillId="0" borderId="0" xfId="1689" applyNumberFormat="1" applyFont="1" applyFill="1" applyProtection="1">
      <protection locked="0"/>
    </xf>
    <xf numFmtId="172" fontId="4" fillId="0" borderId="0" xfId="1689" applyFont="1" applyFill="1" applyAlignment="1" applyProtection="1">
      <alignment horizontal="center"/>
      <protection locked="0"/>
    </xf>
    <xf numFmtId="0" fontId="4" fillId="0" borderId="0" xfId="1689" applyNumberFormat="1" applyFont="1" applyFill="1"/>
    <xf numFmtId="10" fontId="4" fillId="0" borderId="0" xfId="1689" applyNumberFormat="1" applyFont="1" applyFill="1" applyProtection="1">
      <protection locked="0"/>
    </xf>
    <xf numFmtId="0" fontId="2" fillId="0" borderId="0" xfId="1689" applyNumberFormat="1" applyFont="1" applyFill="1" applyAlignment="1" applyProtection="1">
      <alignment horizontal="center"/>
      <protection locked="0"/>
    </xf>
    <xf numFmtId="172" fontId="2" fillId="0" borderId="0" xfId="1689" applyFont="1" applyFill="1" applyAlignment="1" applyProtection="1">
      <alignment horizontal="center"/>
      <protection locked="0"/>
    </xf>
    <xf numFmtId="172" fontId="2" fillId="0" borderId="0" xfId="1689" applyFont="1" applyFill="1" applyAlignment="1" applyProtection="1">
      <protection locked="0"/>
    </xf>
    <xf numFmtId="0" fontId="9" fillId="0" borderId="0" xfId="0" applyFont="1" applyFill="1"/>
    <xf numFmtId="0" fontId="6" fillId="0" borderId="0" xfId="0" applyFont="1" applyFill="1" applyBorder="1" applyAlignment="1">
      <alignment horizontal="center"/>
    </xf>
    <xf numFmtId="0" fontId="9" fillId="0" borderId="0" xfId="0" applyFont="1" applyFill="1" applyBorder="1"/>
    <xf numFmtId="0" fontId="6" fillId="0" borderId="0" xfId="1681" applyFont="1" applyFill="1" applyAlignment="1">
      <alignment horizontal="center"/>
    </xf>
    <xf numFmtId="0" fontId="12" fillId="0" borderId="0" xfId="1681" applyFont="1" applyFill="1"/>
    <xf numFmtId="9" fontId="6" fillId="0" borderId="0" xfId="1681" quotePrefix="1" applyNumberFormat="1" applyFont="1" applyFill="1" applyAlignment="1">
      <alignment horizontal="center"/>
    </xf>
    <xf numFmtId="0" fontId="14" fillId="0" borderId="0" xfId="1681" applyFont="1" applyFill="1" applyAlignment="1">
      <alignment horizontal="center"/>
    </xf>
    <xf numFmtId="41" fontId="4" fillId="0" borderId="0" xfId="1689" applyNumberFormat="1" applyFont="1" applyFill="1" applyAlignment="1" applyProtection="1">
      <protection locked="0"/>
    </xf>
    <xf numFmtId="41" fontId="4" fillId="0" borderId="11" xfId="1689" applyNumberFormat="1" applyFont="1" applyFill="1" applyBorder="1" applyAlignment="1" applyProtection="1">
      <protection locked="0"/>
    </xf>
    <xf numFmtId="164" fontId="4" fillId="0" borderId="0" xfId="1689" applyNumberFormat="1" applyFont="1" applyFill="1" applyBorder="1" applyAlignment="1" applyProtection="1">
      <alignment horizontal="left" vertical="center"/>
      <protection locked="0"/>
    </xf>
    <xf numFmtId="0" fontId="4" fillId="0" borderId="0" xfId="1689" applyNumberFormat="1" applyFont="1" applyFill="1" applyBorder="1" applyAlignment="1" applyProtection="1">
      <alignment horizontal="left"/>
      <protection locked="0"/>
    </xf>
    <xf numFmtId="41" fontId="4" fillId="0" borderId="0" xfId="1689" applyNumberFormat="1" applyFont="1" applyFill="1" applyBorder="1" applyAlignment="1" applyProtection="1">
      <protection locked="0"/>
    </xf>
    <xf numFmtId="41" fontId="4" fillId="0" borderId="0" xfId="1689" applyNumberFormat="1" applyFont="1" applyFill="1" applyAlignment="1" applyProtection="1">
      <alignment horizontal="right"/>
      <protection locked="0"/>
    </xf>
    <xf numFmtId="0" fontId="4" fillId="0" borderId="0" xfId="0" applyFont="1" applyFill="1" applyAlignment="1"/>
    <xf numFmtId="0" fontId="4" fillId="0" borderId="0" xfId="0" applyFont="1" applyFill="1"/>
    <xf numFmtId="3" fontId="4" fillId="0" borderId="0" xfId="1689" applyNumberFormat="1" applyFont="1" applyFill="1" applyProtection="1">
      <protection locked="0"/>
    </xf>
    <xf numFmtId="0" fontId="12" fillId="0" borderId="0" xfId="0" applyFont="1" applyFill="1"/>
    <xf numFmtId="0" fontId="9" fillId="0" borderId="0" xfId="1681" applyFont="1" applyFill="1"/>
    <xf numFmtId="0" fontId="12" fillId="0" borderId="0" xfId="1681" applyFont="1" applyFill="1" applyAlignment="1">
      <alignment horizontal="left"/>
    </xf>
    <xf numFmtId="3" fontId="9" fillId="0" borderId="0" xfId="0" applyNumberFormat="1" applyFont="1" applyFill="1"/>
    <xf numFmtId="0" fontId="4" fillId="0" borderId="0" xfId="1681" applyFont="1" applyFill="1" applyAlignment="1">
      <alignment horizontal="right"/>
    </xf>
    <xf numFmtId="40" fontId="9" fillId="0" borderId="0" xfId="0" applyNumberFormat="1" applyFont="1" applyFill="1"/>
    <xf numFmtId="168" fontId="4" fillId="0" borderId="0" xfId="1689" applyNumberFormat="1" applyFont="1" applyFill="1" applyAlignment="1" applyProtection="1">
      <alignment horizontal="left"/>
      <protection locked="0"/>
    </xf>
    <xf numFmtId="0" fontId="4" fillId="0" borderId="0" xfId="1681" applyFont="1" applyFill="1"/>
    <xf numFmtId="0" fontId="6" fillId="0" borderId="0" xfId="1681" applyFont="1" applyFill="1" applyBorder="1"/>
    <xf numFmtId="0" fontId="5" fillId="0" borderId="0" xfId="1681" applyFont="1" applyFill="1" applyAlignment="1">
      <alignment horizontal="center"/>
    </xf>
    <xf numFmtId="37" fontId="4" fillId="0" borderId="0" xfId="0" applyNumberFormat="1" applyFont="1" applyFill="1" applyAlignment="1"/>
    <xf numFmtId="37" fontId="4" fillId="0" borderId="0" xfId="0" applyNumberFormat="1" applyFont="1" applyFill="1" applyAlignment="1">
      <alignment horizontal="center"/>
    </xf>
    <xf numFmtId="175" fontId="4" fillId="0" borderId="0" xfId="0" applyNumberFormat="1" applyFont="1" applyFill="1"/>
    <xf numFmtId="0" fontId="7" fillId="0" borderId="0" xfId="1681" applyFont="1" applyFill="1" applyAlignment="1">
      <alignment horizontal="center"/>
    </xf>
    <xf numFmtId="0" fontId="4" fillId="0" borderId="0" xfId="1681" applyFont="1" applyFill="1" applyAlignment="1">
      <alignment horizontal="center"/>
    </xf>
    <xf numFmtId="0" fontId="4" fillId="0" borderId="0" xfId="1689" applyNumberFormat="1" applyFont="1" applyFill="1" applyAlignment="1">
      <alignment horizontal="center"/>
    </xf>
    <xf numFmtId="166" fontId="4" fillId="0" borderId="0" xfId="1689" applyNumberFormat="1" applyFont="1" applyFill="1"/>
    <xf numFmtId="1" fontId="4" fillId="0" borderId="0" xfId="1689" applyNumberFormat="1" applyFont="1" applyFill="1"/>
    <xf numFmtId="38" fontId="9" fillId="0" borderId="0" xfId="0" applyNumberFormat="1" applyFont="1" applyFill="1" applyBorder="1" applyAlignment="1"/>
    <xf numFmtId="172" fontId="4" fillId="0" borderId="0" xfId="1689" applyFont="1" applyFill="1" applyAlignment="1">
      <alignment horizontal="center"/>
    </xf>
    <xf numFmtId="173" fontId="4" fillId="0" borderId="0" xfId="381" applyNumberFormat="1" applyFont="1" applyFill="1" applyAlignment="1"/>
    <xf numFmtId="173" fontId="4" fillId="0" borderId="11" xfId="381" applyNumberFormat="1" applyFont="1" applyFill="1" applyBorder="1" applyAlignment="1"/>
    <xf numFmtId="0" fontId="2" fillId="0" borderId="0" xfId="1689" applyNumberFormat="1" applyFont="1" applyFill="1" applyAlignment="1" applyProtection="1">
      <alignment horizontal="center" vertical="center"/>
      <protection locked="0"/>
    </xf>
    <xf numFmtId="0" fontId="4" fillId="0" borderId="0" xfId="1689" applyNumberFormat="1" applyFont="1" applyFill="1" applyAlignment="1" applyProtection="1">
      <alignment horizontal="center" vertical="center"/>
      <protection locked="0"/>
    </xf>
    <xf numFmtId="3" fontId="4" fillId="0" borderId="0" xfId="1689" applyNumberFormat="1" applyFont="1" applyFill="1" applyAlignment="1" applyProtection="1">
      <alignment horizontal="center" wrapText="1"/>
      <protection locked="0"/>
    </xf>
    <xf numFmtId="41" fontId="4" fillId="0" borderId="0" xfId="1689" applyNumberFormat="1" applyFont="1" applyFill="1" applyAlignment="1" applyProtection="1">
      <alignment horizontal="center"/>
      <protection locked="0"/>
    </xf>
    <xf numFmtId="3" fontId="4" fillId="0" borderId="11" xfId="1689" applyNumberFormat="1" applyFont="1" applyFill="1" applyBorder="1" applyAlignment="1" applyProtection="1">
      <alignment horizontal="center"/>
      <protection locked="0"/>
    </xf>
    <xf numFmtId="0" fontId="4" fillId="0" borderId="0" xfId="1692" applyFont="1" applyFill="1"/>
    <xf numFmtId="43" fontId="4" fillId="0" borderId="0" xfId="1072" applyFont="1" applyFill="1"/>
    <xf numFmtId="43" fontId="4" fillId="0" borderId="0" xfId="1681" applyNumberFormat="1" applyFont="1" applyFill="1"/>
    <xf numFmtId="0" fontId="9" fillId="0" borderId="0" xfId="1519" applyNumberFormat="1" applyFont="1" applyFill="1" applyBorder="1" applyAlignment="1"/>
    <xf numFmtId="0" fontId="9" fillId="0" borderId="0" xfId="1519" applyNumberFormat="1" applyFont="1" applyFill="1" applyBorder="1" applyAlignment="1">
      <alignment horizontal="left"/>
    </xf>
    <xf numFmtId="0" fontId="6" fillId="0" borderId="0" xfId="1519" applyNumberFormat="1" applyFont="1" applyFill="1" applyBorder="1" applyAlignment="1">
      <alignment horizontal="left"/>
    </xf>
    <xf numFmtId="0" fontId="9" fillId="0" borderId="0" xfId="1519" applyFont="1" applyFill="1" applyBorder="1" applyAlignment="1">
      <alignment horizontal="center" wrapText="1"/>
    </xf>
    <xf numFmtId="3" fontId="9" fillId="0" borderId="0" xfId="1519" applyNumberFormat="1" applyFont="1" applyFill="1" applyBorder="1" applyAlignment="1"/>
    <xf numFmtId="0" fontId="9" fillId="0" borderId="0" xfId="1519" applyFont="1" applyFill="1" applyBorder="1" applyAlignment="1"/>
    <xf numFmtId="0" fontId="14" fillId="0" borderId="0" xfId="1519" applyNumberFormat="1" applyFont="1" applyFill="1" applyBorder="1" applyAlignment="1">
      <alignment horizontal="left"/>
    </xf>
    <xf numFmtId="0" fontId="9" fillId="0" borderId="0" xfId="1519" applyNumberFormat="1" applyFont="1" applyFill="1" applyBorder="1" applyAlignment="1">
      <alignment horizontal="center"/>
    </xf>
    <xf numFmtId="173" fontId="9" fillId="0" borderId="0" xfId="590" applyNumberFormat="1" applyFont="1" applyFill="1" applyBorder="1" applyAlignment="1">
      <alignment horizontal="right"/>
    </xf>
    <xf numFmtId="0" fontId="9" fillId="0" borderId="0" xfId="1519" applyFont="1" applyFill="1" applyBorder="1"/>
    <xf numFmtId="0" fontId="6" fillId="0" borderId="0" xfId="1519" applyNumberFormat="1" applyFont="1" applyFill="1" applyBorder="1" applyAlignment="1">
      <alignment horizontal="center"/>
    </xf>
    <xf numFmtId="164" fontId="9" fillId="0" borderId="0" xfId="1764" applyNumberFormat="1" applyFont="1" applyFill="1" applyBorder="1" applyAlignment="1"/>
    <xf numFmtId="173" fontId="9" fillId="0" borderId="0" xfId="590" applyNumberFormat="1" applyFont="1" applyFill="1" applyBorder="1" applyAlignment="1">
      <alignment horizontal="left"/>
    </xf>
    <xf numFmtId="0" fontId="9" fillId="0" borderId="0" xfId="1519" applyFont="1" applyFill="1" applyBorder="1" applyAlignment="1">
      <alignment horizontal="center"/>
    </xf>
    <xf numFmtId="3" fontId="9" fillId="0" borderId="0" xfId="1519" applyNumberFormat="1" applyFont="1" applyFill="1" applyBorder="1" applyAlignment="1">
      <alignment horizontal="right"/>
    </xf>
    <xf numFmtId="3" fontId="9" fillId="0" borderId="0" xfId="1519" applyNumberFormat="1" applyFont="1" applyFill="1" applyBorder="1" applyAlignment="1">
      <alignment horizontal="center"/>
    </xf>
    <xf numFmtId="1" fontId="9" fillId="0" borderId="0" xfId="1519" applyNumberFormat="1" applyFont="1" applyFill="1" applyBorder="1" applyAlignment="1">
      <alignment horizontal="center"/>
    </xf>
    <xf numFmtId="0" fontId="4" fillId="0" borderId="0" xfId="1689" applyNumberFormat="1" applyFont="1" applyFill="1" applyAlignment="1" applyProtection="1">
      <alignment horizontal="left"/>
      <protection locked="0"/>
    </xf>
    <xf numFmtId="0" fontId="4" fillId="0" borderId="11" xfId="1689" applyNumberFormat="1" applyFont="1" applyFill="1" applyBorder="1" applyAlignment="1" applyProtection="1">
      <alignment horizontal="center"/>
      <protection locked="0"/>
    </xf>
    <xf numFmtId="10" fontId="4" fillId="0" borderId="0" xfId="1689" applyNumberFormat="1" applyFont="1" applyFill="1" applyAlignment="1" applyProtection="1">
      <protection locked="0"/>
    </xf>
    <xf numFmtId="169" fontId="4" fillId="0" borderId="0" xfId="1689" applyNumberFormat="1" applyFont="1" applyFill="1" applyAlignment="1" applyProtection="1">
      <protection locked="0"/>
    </xf>
    <xf numFmtId="3" fontId="5" fillId="0" borderId="0" xfId="1689" applyNumberFormat="1" applyFont="1" applyFill="1" applyAlignment="1" applyProtection="1">
      <alignment horizontal="right"/>
      <protection locked="0"/>
    </xf>
    <xf numFmtId="169" fontId="5" fillId="0" borderId="0" xfId="1689" applyNumberFormat="1" applyFont="1" applyFill="1" applyAlignment="1" applyProtection="1">
      <protection locked="0"/>
    </xf>
    <xf numFmtId="0" fontId="6" fillId="0" borderId="0" xfId="1519" quotePrefix="1" applyFont="1" applyFill="1" applyBorder="1" applyAlignment="1">
      <alignment horizontal="center"/>
    </xf>
    <xf numFmtId="173" fontId="9" fillId="0" borderId="0" xfId="1519" applyNumberFormat="1" applyFont="1" applyFill="1" applyBorder="1" applyAlignment="1"/>
    <xf numFmtId="173" fontId="9" fillId="0" borderId="0" xfId="1519" applyNumberFormat="1" applyFont="1" applyFill="1" applyBorder="1" applyAlignment="1">
      <alignment horizontal="right"/>
    </xf>
    <xf numFmtId="0" fontId="14" fillId="0" borderId="0" xfId="1519" applyFont="1" applyFill="1" applyBorder="1" applyAlignment="1">
      <alignment horizontal="left"/>
    </xf>
    <xf numFmtId="0" fontId="6" fillId="0" borderId="0" xfId="1519" applyFont="1" applyFill="1" applyBorder="1" applyAlignment="1">
      <alignment horizontal="left"/>
    </xf>
    <xf numFmtId="0" fontId="6" fillId="0" borderId="0" xfId="1519" applyFont="1" applyFill="1" applyBorder="1" applyAlignment="1">
      <alignment horizontal="center"/>
    </xf>
    <xf numFmtId="0" fontId="6" fillId="0" borderId="0" xfId="0" applyFont="1" applyFill="1" applyAlignment="1">
      <alignment horizontal="center"/>
    </xf>
    <xf numFmtId="174" fontId="9" fillId="0" borderId="0" xfId="381" applyNumberFormat="1" applyFont="1" applyFill="1"/>
    <xf numFmtId="3" fontId="4" fillId="0" borderId="0" xfId="1689" applyNumberFormat="1" applyFont="1" applyFill="1" applyAlignment="1" applyProtection="1">
      <alignment vertical="center"/>
      <protection locked="0"/>
    </xf>
    <xf numFmtId="3" fontId="7" fillId="0" borderId="0" xfId="1689" applyNumberFormat="1" applyFont="1" applyFill="1" applyAlignment="1" applyProtection="1">
      <protection locked="0"/>
    </xf>
    <xf numFmtId="173" fontId="4" fillId="0" borderId="0" xfId="381" applyNumberFormat="1" applyFont="1" applyFill="1" applyAlignment="1" applyProtection="1">
      <protection locked="0"/>
    </xf>
    <xf numFmtId="3" fontId="4" fillId="0" borderId="0" xfId="1689" applyNumberFormat="1" applyFont="1" applyFill="1" applyAlignment="1" applyProtection="1">
      <alignment horizontal="center" vertical="center"/>
      <protection locked="0"/>
    </xf>
    <xf numFmtId="41" fontId="4" fillId="0" borderId="0" xfId="1689" applyNumberFormat="1" applyFont="1" applyFill="1" applyAlignment="1" applyProtection="1">
      <alignment vertical="center"/>
      <protection locked="0"/>
    </xf>
    <xf numFmtId="0" fontId="11" fillId="0" borderId="0" xfId="1689" applyNumberFormat="1" applyFont="1" applyFill="1" applyBorder="1" applyAlignment="1" applyProtection="1">
      <alignment horizontal="left"/>
      <protection locked="0"/>
    </xf>
    <xf numFmtId="3" fontId="5" fillId="0" borderId="0" xfId="1689" applyNumberFormat="1" applyFont="1" applyFill="1" applyAlignment="1" applyProtection="1">
      <protection locked="0"/>
    </xf>
    <xf numFmtId="172" fontId="5" fillId="0" borderId="0" xfId="1689" applyFont="1" applyFill="1" applyAlignment="1" applyProtection="1">
      <alignment horizontal="right"/>
      <protection locked="0"/>
    </xf>
    <xf numFmtId="181" fontId="5" fillId="0" borderId="0" xfId="381" applyNumberFormat="1" applyFont="1" applyFill="1" applyAlignment="1" applyProtection="1">
      <protection locked="0"/>
    </xf>
    <xf numFmtId="183" fontId="4" fillId="0" borderId="0" xfId="1689" applyNumberFormat="1" applyFont="1" applyFill="1" applyAlignment="1" applyProtection="1">
      <protection locked="0"/>
    </xf>
    <xf numFmtId="182" fontId="4" fillId="0" borderId="0" xfId="1689" applyNumberFormat="1" applyFont="1" applyFill="1" applyAlignment="1" applyProtection="1">
      <protection locked="0"/>
    </xf>
    <xf numFmtId="3" fontId="5" fillId="0" borderId="0" xfId="1689" applyNumberFormat="1" applyFont="1" applyFill="1" applyAlignment="1" applyProtection="1">
      <alignment horizontal="right" vertical="center"/>
      <protection locked="0"/>
    </xf>
    <xf numFmtId="165" fontId="4" fillId="0" borderId="0" xfId="1689" applyNumberFormat="1" applyFont="1" applyFill="1" applyAlignment="1" applyProtection="1">
      <protection locked="0"/>
    </xf>
    <xf numFmtId="164" fontId="4" fillId="0" borderId="0" xfId="1689" applyNumberFormat="1" applyFont="1" applyFill="1" applyAlignment="1" applyProtection="1">
      <alignment horizontal="center"/>
      <protection locked="0"/>
    </xf>
    <xf numFmtId="176" fontId="4" fillId="0" borderId="0" xfId="381" applyNumberFormat="1" applyFont="1" applyFill="1" applyAlignment="1" applyProtection="1">
      <alignment horizontal="center"/>
      <protection locked="0"/>
    </xf>
    <xf numFmtId="181" fontId="4" fillId="0" borderId="0" xfId="381" applyNumberFormat="1" applyFont="1" applyFill="1" applyAlignment="1" applyProtection="1">
      <protection locked="0"/>
    </xf>
    <xf numFmtId="10" fontId="4" fillId="0" borderId="0" xfId="1724" applyNumberFormat="1" applyFont="1" applyFill="1" applyAlignment="1" applyProtection="1">
      <protection locked="0"/>
    </xf>
    <xf numFmtId="3" fontId="4" fillId="0" borderId="0" xfId="0" applyNumberFormat="1" applyFont="1" applyFill="1" applyAlignment="1">
      <alignment horizontal="center"/>
    </xf>
    <xf numFmtId="3" fontId="7" fillId="0" borderId="0" xfId="0" applyNumberFormat="1" applyFont="1" applyFill="1" applyAlignment="1">
      <alignment horizontal="center"/>
    </xf>
    <xf numFmtId="3" fontId="4" fillId="0" borderId="0" xfId="1689" applyNumberFormat="1" applyFont="1" applyFill="1" applyAlignment="1" applyProtection="1">
      <alignment horizontal="left"/>
      <protection locked="0"/>
    </xf>
    <xf numFmtId="42" fontId="4" fillId="0" borderId="0" xfId="1689" applyNumberFormat="1" applyFont="1" applyFill="1" applyAlignment="1" applyProtection="1">
      <protection locked="0"/>
    </xf>
    <xf numFmtId="0" fontId="54" fillId="0" borderId="0" xfId="0" applyFont="1" applyFill="1"/>
    <xf numFmtId="0" fontId="3" fillId="0" borderId="0" xfId="0" applyFont="1" applyFill="1"/>
    <xf numFmtId="0" fontId="6" fillId="0" borderId="0" xfId="0" applyFont="1" applyFill="1" applyBorder="1"/>
    <xf numFmtId="10" fontId="9" fillId="0" borderId="0" xfId="1689" applyNumberFormat="1" applyFont="1" applyFill="1" applyAlignment="1" applyProtection="1">
      <alignment horizontal="right"/>
      <protection locked="0"/>
    </xf>
    <xf numFmtId="0" fontId="9" fillId="0" borderId="0" xfId="0" applyNumberFormat="1" applyFont="1" applyFill="1" applyAlignment="1">
      <alignment horizontal="center"/>
    </xf>
    <xf numFmtId="10" fontId="10" fillId="0" borderId="0" xfId="1689" applyNumberFormat="1" applyFont="1" applyFill="1" applyAlignment="1" applyProtection="1">
      <alignment horizontal="center"/>
      <protection locked="0"/>
    </xf>
    <xf numFmtId="0" fontId="9" fillId="0" borderId="0" xfId="1689" applyNumberFormat="1" applyFont="1" applyFill="1" applyBorder="1" applyAlignment="1" applyProtection="1">
      <alignment horizontal="right"/>
      <protection locked="0"/>
    </xf>
    <xf numFmtId="10" fontId="9" fillId="0" borderId="0" xfId="1689" applyNumberFormat="1" applyFont="1" applyFill="1" applyAlignment="1" applyProtection="1">
      <alignment horizontal="left"/>
      <protection locked="0"/>
    </xf>
    <xf numFmtId="41" fontId="9" fillId="0" borderId="0" xfId="1689" applyNumberFormat="1" applyFont="1" applyFill="1" applyAlignment="1" applyProtection="1">
      <protection locked="0"/>
    </xf>
    <xf numFmtId="41" fontId="9" fillId="0" borderId="0" xfId="1689" applyNumberFormat="1" applyFont="1" applyFill="1" applyBorder="1" applyAlignment="1" applyProtection="1">
      <alignment horizontal="right"/>
      <protection locked="0"/>
    </xf>
    <xf numFmtId="164" fontId="9" fillId="0" borderId="0" xfId="1689" applyNumberFormat="1" applyFont="1" applyFill="1" applyBorder="1" applyAlignment="1" applyProtection="1">
      <alignment horizontal="left"/>
      <protection locked="0"/>
    </xf>
    <xf numFmtId="0" fontId="9" fillId="0" borderId="0" xfId="0" applyFont="1" applyFill="1" applyBorder="1" applyAlignment="1"/>
    <xf numFmtId="41" fontId="9" fillId="0" borderId="0" xfId="1689" applyNumberFormat="1" applyFont="1" applyFill="1" applyBorder="1" applyAlignment="1" applyProtection="1">
      <protection locked="0"/>
    </xf>
    <xf numFmtId="0" fontId="9" fillId="0" borderId="0" xfId="1689" applyNumberFormat="1" applyFont="1" applyFill="1" applyBorder="1" applyAlignment="1" applyProtection="1">
      <protection locked="0"/>
    </xf>
    <xf numFmtId="3" fontId="9" fillId="0" borderId="0" xfId="1689" applyNumberFormat="1" applyFont="1" applyFill="1" applyBorder="1" applyAlignment="1" applyProtection="1">
      <protection locked="0"/>
    </xf>
    <xf numFmtId="41" fontId="9" fillId="0" borderId="0" xfId="1689" applyNumberFormat="1" applyFont="1" applyFill="1" applyBorder="1" applyAlignment="1" applyProtection="1">
      <alignment horizontal="center"/>
      <protection locked="0"/>
    </xf>
    <xf numFmtId="0" fontId="9" fillId="0" borderId="0" xfId="1689" applyNumberFormat="1" applyFont="1" applyFill="1" applyBorder="1" applyProtection="1">
      <protection locked="0"/>
    </xf>
    <xf numFmtId="41" fontId="10" fillId="0" borderId="0" xfId="1689" applyNumberFormat="1" applyFont="1" applyFill="1" applyBorder="1" applyAlignment="1" applyProtection="1">
      <protection locked="0"/>
    </xf>
    <xf numFmtId="3" fontId="9" fillId="0" borderId="0" xfId="1689" applyNumberFormat="1" applyFont="1" applyFill="1" applyBorder="1" applyAlignment="1" applyProtection="1">
      <alignment horizontal="center"/>
      <protection locked="0"/>
    </xf>
    <xf numFmtId="0" fontId="9" fillId="0" borderId="0" xfId="1689" applyNumberFormat="1" applyFont="1" applyFill="1" applyBorder="1" applyAlignment="1" applyProtection="1">
      <alignment horizontal="center"/>
      <protection locked="0"/>
    </xf>
    <xf numFmtId="10" fontId="9" fillId="0" borderId="0" xfId="1689" applyNumberFormat="1" applyFont="1" applyFill="1" applyBorder="1" applyAlignment="1" applyProtection="1">
      <protection locked="0"/>
    </xf>
    <xf numFmtId="169" fontId="9" fillId="0" borderId="0" xfId="1689" applyNumberFormat="1" applyFont="1" applyFill="1" applyBorder="1" applyAlignment="1" applyProtection="1">
      <protection locked="0"/>
    </xf>
    <xf numFmtId="172" fontId="9" fillId="0" borderId="0" xfId="1689" applyFont="1" applyFill="1" applyBorder="1" applyAlignment="1" applyProtection="1">
      <protection locked="0"/>
    </xf>
    <xf numFmtId="169" fontId="6" fillId="0" borderId="0" xfId="1689" applyNumberFormat="1" applyFont="1" applyFill="1" applyBorder="1" applyAlignment="1" applyProtection="1">
      <protection locked="0"/>
    </xf>
    <xf numFmtId="0" fontId="9" fillId="0" borderId="0" xfId="0" applyFont="1" applyFill="1" applyBorder="1" applyAlignment="1">
      <alignment horizontal="center"/>
    </xf>
    <xf numFmtId="41" fontId="9" fillId="0" borderId="0" xfId="0" applyNumberFormat="1" applyFont="1" applyFill="1" applyBorder="1"/>
    <xf numFmtId="173" fontId="9" fillId="0" borderId="0" xfId="381" applyNumberFormat="1" applyFont="1" applyFill="1" applyBorder="1"/>
    <xf numFmtId="0" fontId="9" fillId="0" borderId="0" xfId="0" applyFont="1" applyFill="1" applyAlignment="1"/>
    <xf numFmtId="10" fontId="9" fillId="0" borderId="0" xfId="0" applyNumberFormat="1" applyFont="1" applyFill="1" applyBorder="1"/>
    <xf numFmtId="0" fontId="8" fillId="0" borderId="0" xfId="0" applyFont="1" applyFill="1"/>
    <xf numFmtId="10" fontId="4" fillId="0" borderId="0" xfId="1689" applyNumberFormat="1" applyFont="1" applyFill="1" applyAlignment="1" applyProtection="1">
      <alignment horizontal="right"/>
      <protection locked="0"/>
    </xf>
    <xf numFmtId="178" fontId="4" fillId="0" borderId="0" xfId="1689" applyNumberFormat="1" applyFont="1" applyFill="1" applyAlignment="1" applyProtection="1">
      <alignment horizontal="right"/>
      <protection locked="0"/>
    </xf>
    <xf numFmtId="0" fontId="57" fillId="0" borderId="0" xfId="1690" applyFont="1" applyFill="1"/>
    <xf numFmtId="0" fontId="4" fillId="0" borderId="0" xfId="0" applyNumberFormat="1" applyFont="1" applyFill="1"/>
    <xf numFmtId="0" fontId="4" fillId="0" borderId="0" xfId="1689" applyNumberFormat="1" applyFont="1" applyFill="1" applyBorder="1" applyAlignment="1" applyProtection="1">
      <alignment vertical="center"/>
      <protection locked="0"/>
    </xf>
    <xf numFmtId="173" fontId="9" fillId="0" borderId="0" xfId="381" applyNumberFormat="1" applyFont="1" applyFill="1"/>
    <xf numFmtId="38" fontId="9" fillId="0" borderId="0" xfId="0" applyNumberFormat="1" applyFont="1" applyFill="1"/>
    <xf numFmtId="0" fontId="62" fillId="0" borderId="0" xfId="1519" applyNumberFormat="1" applyFont="1" applyFill="1" applyBorder="1" applyAlignment="1">
      <alignment horizontal="left"/>
    </xf>
    <xf numFmtId="173" fontId="57" fillId="0" borderId="20" xfId="381" applyNumberFormat="1" applyFont="1" applyFill="1" applyBorder="1"/>
    <xf numFmtId="41" fontId="4" fillId="0" borderId="0" xfId="1689" applyNumberFormat="1" applyFont="1" applyFill="1" applyAlignment="1" applyProtection="1">
      <alignment horizontal="center" vertical="center"/>
      <protection locked="0"/>
    </xf>
    <xf numFmtId="173" fontId="4" fillId="0" borderId="0" xfId="381" applyNumberFormat="1" applyFont="1" applyFill="1"/>
    <xf numFmtId="41" fontId="4" fillId="0" borderId="11" xfId="1689" applyNumberFormat="1" applyFont="1" applyFill="1" applyBorder="1" applyAlignment="1" applyProtection="1">
      <alignment horizontal="center"/>
      <protection locked="0"/>
    </xf>
    <xf numFmtId="0" fontId="14" fillId="0" borderId="0" xfId="1519" applyFont="1" applyFill="1" applyBorder="1" applyAlignment="1">
      <alignment horizontal="center"/>
    </xf>
    <xf numFmtId="0" fontId="10" fillId="0" borderId="0" xfId="1519" applyNumberFormat="1" applyFont="1" applyFill="1" applyBorder="1" applyAlignment="1">
      <alignment horizontal="left"/>
    </xf>
    <xf numFmtId="173" fontId="10" fillId="0" borderId="0" xfId="590" applyNumberFormat="1" applyFont="1" applyFill="1" applyBorder="1" applyAlignment="1">
      <alignment horizontal="right"/>
    </xf>
    <xf numFmtId="0" fontId="14" fillId="0" borderId="0" xfId="0" applyFont="1" applyFill="1" applyAlignment="1">
      <alignment horizontal="center"/>
    </xf>
    <xf numFmtId="0" fontId="11" fillId="0" borderId="0" xfId="1681" applyFont="1" applyFill="1"/>
    <xf numFmtId="0" fontId="63" fillId="0" borderId="0" xfId="1681" applyFont="1" applyFill="1"/>
    <xf numFmtId="9" fontId="7" fillId="0" borderId="0" xfId="1681" quotePrefix="1" applyNumberFormat="1" applyFont="1" applyFill="1" applyAlignment="1">
      <alignment horizontal="center"/>
    </xf>
    <xf numFmtId="165" fontId="5" fillId="0" borderId="0" xfId="1689" applyNumberFormat="1" applyFont="1" applyFill="1" applyAlignment="1" applyProtection="1">
      <protection locked="0"/>
    </xf>
    <xf numFmtId="0" fontId="15" fillId="0" borderId="0" xfId="1690" applyNumberFormat="1" applyFont="1" applyFill="1"/>
    <xf numFmtId="10" fontId="12" fillId="0" borderId="0" xfId="1724" applyNumberFormat="1" applyFont="1" applyFill="1"/>
    <xf numFmtId="0" fontId="14" fillId="0" borderId="0" xfId="1681" applyFont="1" applyFill="1" applyAlignment="1">
      <alignment horizontal="left"/>
    </xf>
    <xf numFmtId="173" fontId="9" fillId="0" borderId="0" xfId="1519" applyNumberFormat="1" applyFont="1" applyFill="1" applyBorder="1" applyAlignment="1">
      <alignment horizontal="left"/>
    </xf>
    <xf numFmtId="49" fontId="4" fillId="0" borderId="0" xfId="1689" applyNumberFormat="1" applyFont="1" applyFill="1" applyProtection="1">
      <protection locked="0"/>
    </xf>
    <xf numFmtId="0" fontId="4" fillId="0" borderId="0" xfId="0" applyNumberFormat="1" applyFont="1" applyFill="1" applyAlignment="1">
      <alignment horizontal="center"/>
    </xf>
    <xf numFmtId="0" fontId="10" fillId="0" borderId="0" xfId="0" applyFont="1" applyFill="1" applyAlignment="1">
      <alignment horizontal="center"/>
    </xf>
    <xf numFmtId="0" fontId="6" fillId="0" borderId="16" xfId="0" applyFont="1" applyFill="1" applyBorder="1" applyAlignment="1">
      <alignment horizontal="center" wrapText="1"/>
    </xf>
    <xf numFmtId="0" fontId="6" fillId="0" borderId="0" xfId="0" applyFont="1" applyFill="1"/>
    <xf numFmtId="41" fontId="9" fillId="0" borderId="0" xfId="1681" applyNumberFormat="1" applyFont="1" applyFill="1" applyBorder="1"/>
    <xf numFmtId="41" fontId="9" fillId="0" borderId="17" xfId="1681" applyNumberFormat="1" applyFont="1" applyFill="1" applyBorder="1"/>
    <xf numFmtId="181" fontId="4" fillId="0" borderId="0" xfId="381" applyNumberFormat="1" applyFont="1" applyFill="1" applyProtection="1">
      <protection locked="0"/>
    </xf>
    <xf numFmtId="0" fontId="9" fillId="0" borderId="0" xfId="0" applyFont="1" applyFill="1" applyAlignment="1">
      <alignment horizontal="center"/>
    </xf>
    <xf numFmtId="1" fontId="9" fillId="0" borderId="0" xfId="0" applyNumberFormat="1" applyFont="1" applyFill="1" applyAlignment="1">
      <alignment horizontal="center"/>
    </xf>
    <xf numFmtId="0" fontId="9" fillId="0" borderId="0" xfId="0" applyFont="1" applyFill="1" applyAlignment="1">
      <alignment horizontal="right"/>
    </xf>
    <xf numFmtId="5" fontId="9" fillId="0" borderId="21" xfId="381" applyNumberFormat="1" applyFont="1" applyFill="1" applyBorder="1" applyAlignment="1"/>
    <xf numFmtId="173" fontId="9" fillId="0" borderId="0" xfId="381" applyNumberFormat="1" applyFont="1" applyFill="1" applyAlignment="1"/>
    <xf numFmtId="5" fontId="4" fillId="0" borderId="11" xfId="1689" applyNumberFormat="1" applyFont="1" applyFill="1" applyBorder="1" applyAlignment="1" applyProtection="1">
      <protection locked="0"/>
    </xf>
    <xf numFmtId="41" fontId="9" fillId="0" borderId="16" xfId="1689" applyNumberFormat="1" applyFont="1" applyFill="1" applyBorder="1" applyAlignment="1" applyProtection="1">
      <protection locked="0"/>
    </xf>
    <xf numFmtId="41" fontId="9" fillId="0" borderId="16" xfId="0" applyNumberFormat="1" applyFont="1" applyFill="1" applyBorder="1"/>
    <xf numFmtId="0" fontId="5" fillId="0" borderId="0" xfId="0" applyFont="1" applyFill="1" applyAlignment="1">
      <alignment horizontal="left"/>
    </xf>
    <xf numFmtId="41" fontId="9" fillId="0" borderId="0" xfId="0" applyNumberFormat="1" applyFont="1" applyFill="1"/>
    <xf numFmtId="10" fontId="9" fillId="0" borderId="16" xfId="0" applyNumberFormat="1" applyFont="1" applyFill="1" applyBorder="1"/>
    <xf numFmtId="173" fontId="9" fillId="0" borderId="16" xfId="381" applyNumberFormat="1" applyFont="1" applyFill="1" applyBorder="1" applyAlignment="1"/>
    <xf numFmtId="175" fontId="4" fillId="0" borderId="0" xfId="0" applyNumberFormat="1" applyFont="1" applyFill="1" applyBorder="1" applyAlignment="1"/>
    <xf numFmtId="175" fontId="4" fillId="0" borderId="22" xfId="0" applyNumberFormat="1" applyFont="1" applyFill="1" applyBorder="1" applyAlignment="1"/>
    <xf numFmtId="10" fontId="4" fillId="0" borderId="21" xfId="1724" applyNumberFormat="1" applyFont="1" applyFill="1" applyBorder="1" applyAlignment="1" applyProtection="1">
      <alignment horizontal="right"/>
      <protection locked="0"/>
    </xf>
    <xf numFmtId="0" fontId="65" fillId="0" borderId="0" xfId="1681" applyFont="1" applyFill="1" applyAlignment="1">
      <alignment horizontal="left"/>
    </xf>
    <xf numFmtId="0" fontId="3" fillId="0" borderId="0" xfId="0" applyFont="1" applyFill="1" applyAlignment="1">
      <alignment horizontal="right"/>
    </xf>
    <xf numFmtId="0" fontId="66" fillId="0" borderId="0" xfId="1681" applyFont="1" applyFill="1"/>
    <xf numFmtId="3" fontId="9" fillId="0" borderId="0" xfId="1689" applyNumberFormat="1" applyFont="1" applyFill="1" applyAlignment="1" applyProtection="1">
      <protection locked="0"/>
    </xf>
    <xf numFmtId="0" fontId="6" fillId="0" borderId="0" xfId="1681" applyFont="1" applyFill="1"/>
    <xf numFmtId="3" fontId="6" fillId="0" borderId="0" xfId="1689" applyNumberFormat="1" applyFont="1" applyFill="1" applyAlignment="1" applyProtection="1">
      <protection locked="0"/>
    </xf>
    <xf numFmtId="41" fontId="6" fillId="0" borderId="0" xfId="1689" applyNumberFormat="1" applyFont="1" applyFill="1" applyAlignment="1" applyProtection="1">
      <protection locked="0"/>
    </xf>
    <xf numFmtId="0" fontId="6" fillId="0" borderId="0" xfId="1681" applyFont="1" applyFill="1" applyAlignment="1">
      <alignment horizontal="left"/>
    </xf>
    <xf numFmtId="10" fontId="6" fillId="0" borderId="0" xfId="1724" applyNumberFormat="1" applyFont="1" applyFill="1" applyBorder="1"/>
    <xf numFmtId="10" fontId="6" fillId="0" borderId="20" xfId="1724" applyNumberFormat="1" applyFont="1" applyFill="1" applyBorder="1"/>
    <xf numFmtId="173" fontId="6" fillId="0" borderId="20" xfId="381" applyNumberFormat="1" applyFont="1" applyFill="1" applyBorder="1"/>
    <xf numFmtId="0" fontId="66" fillId="0" borderId="0" xfId="1681" applyFont="1" applyFill="1" applyAlignment="1">
      <alignment horizontal="left"/>
    </xf>
    <xf numFmtId="0" fontId="14" fillId="0" borderId="0" xfId="1681" applyFont="1" applyFill="1" applyAlignment="1">
      <alignment horizontal="center" wrapText="1"/>
    </xf>
    <xf numFmtId="41" fontId="67" fillId="0" borderId="0" xfId="1681" applyNumberFormat="1" applyFont="1" applyFill="1"/>
    <xf numFmtId="41" fontId="6" fillId="0" borderId="23" xfId="1681" applyNumberFormat="1" applyFont="1" applyFill="1" applyBorder="1"/>
    <xf numFmtId="10" fontId="9" fillId="0" borderId="0" xfId="1724" applyNumberFormat="1" applyFont="1" applyFill="1" applyBorder="1"/>
    <xf numFmtId="0" fontId="68" fillId="0" borderId="0" xfId="1692" applyFont="1" applyFill="1"/>
    <xf numFmtId="0" fontId="8" fillId="0" borderId="0" xfId="1692" applyFont="1" applyFill="1"/>
    <xf numFmtId="0" fontId="9" fillId="0" borderId="0" xfId="1692" applyFont="1" applyFill="1"/>
    <xf numFmtId="43" fontId="9" fillId="0" borderId="0" xfId="1072" applyFont="1" applyFill="1"/>
    <xf numFmtId="0" fontId="69" fillId="0" borderId="0" xfId="1692" applyFont="1" applyFill="1"/>
    <xf numFmtId="0" fontId="61" fillId="0" borderId="0" xfId="1692" applyFont="1" applyFill="1" applyAlignment="1"/>
    <xf numFmtId="0" fontId="5" fillId="0" borderId="0" xfId="1692" quotePrefix="1" applyFont="1" applyFill="1" applyAlignment="1">
      <alignment horizontal="left"/>
    </xf>
    <xf numFmtId="0" fontId="6" fillId="0" borderId="0" xfId="1692" applyFont="1" applyFill="1"/>
    <xf numFmtId="0" fontId="6" fillId="0" borderId="0" xfId="1692" applyFont="1" applyFill="1" applyAlignment="1">
      <alignment horizontal="left"/>
    </xf>
    <xf numFmtId="0" fontId="5" fillId="0" borderId="0" xfId="1678" applyFont="1" applyFill="1"/>
    <xf numFmtId="0" fontId="72" fillId="0" borderId="0" xfId="1692" applyFont="1" applyFill="1" applyAlignment="1"/>
    <xf numFmtId="170" fontId="4" fillId="0" borderId="21" xfId="1692" applyNumberFormat="1" applyFont="1" applyFill="1" applyBorder="1"/>
    <xf numFmtId="170" fontId="2" fillId="0" borderId="22" xfId="1692" applyNumberFormat="1" applyFont="1" applyFill="1" applyBorder="1" applyAlignment="1">
      <alignment horizontal="right"/>
    </xf>
    <xf numFmtId="0" fontId="6" fillId="0" borderId="0" xfId="1692" applyFont="1" applyFill="1" applyBorder="1" applyAlignment="1">
      <alignment horizontal="center"/>
    </xf>
    <xf numFmtId="0" fontId="9" fillId="0" borderId="0" xfId="1692" applyFont="1" applyFill="1" applyBorder="1"/>
    <xf numFmtId="0" fontId="69" fillId="0" borderId="0" xfId="0" applyFont="1" applyFill="1"/>
    <xf numFmtId="0" fontId="2" fillId="0" borderId="0" xfId="1689" applyNumberFormat="1" applyFont="1" applyFill="1" applyProtection="1">
      <protection locked="0"/>
    </xf>
    <xf numFmtId="170" fontId="4" fillId="0" borderId="0" xfId="1689" applyNumberFormat="1" applyFont="1" applyFill="1" applyAlignment="1"/>
    <xf numFmtId="1" fontId="4" fillId="0" borderId="0" xfId="1689" applyNumberFormat="1" applyFont="1" applyFill="1" applyAlignment="1" applyProtection="1">
      <alignment horizontal="center"/>
      <protection locked="0"/>
    </xf>
    <xf numFmtId="41" fontId="10" fillId="0" borderId="16" xfId="1689" applyNumberFormat="1" applyFont="1" applyFill="1" applyBorder="1" applyAlignment="1" applyProtection="1">
      <protection locked="0"/>
    </xf>
    <xf numFmtId="0" fontId="4" fillId="0" borderId="0" xfId="381" applyNumberFormat="1" applyFont="1" applyFill="1" applyAlignment="1"/>
    <xf numFmtId="173" fontId="12" fillId="0" borderId="0" xfId="1681" applyNumberFormat="1" applyFont="1" applyFill="1"/>
    <xf numFmtId="0" fontId="4" fillId="0" borderId="0" xfId="1689" applyNumberFormat="1" applyFont="1" applyFill="1" applyAlignment="1" applyProtection="1">
      <alignment horizontal="right"/>
      <protection locked="0"/>
    </xf>
    <xf numFmtId="9" fontId="9" fillId="0" borderId="0" xfId="1724" applyFont="1" applyFill="1" applyBorder="1"/>
    <xf numFmtId="173" fontId="9" fillId="0" borderId="0" xfId="381" applyNumberFormat="1" applyFont="1" applyFill="1" applyBorder="1" applyAlignment="1"/>
    <xf numFmtId="0" fontId="2" fillId="0" borderId="0" xfId="1689" applyNumberFormat="1" applyFont="1" applyFill="1" applyBorder="1" applyAlignment="1" applyProtection="1">
      <alignment horizontal="center"/>
      <protection locked="0"/>
    </xf>
    <xf numFmtId="169" fontId="9" fillId="0" borderId="0" xfId="1689" applyNumberFormat="1" applyFont="1" applyFill="1" applyAlignment="1" applyProtection="1">
      <protection locked="0"/>
    </xf>
    <xf numFmtId="169" fontId="10" fillId="0" borderId="0" xfId="1689" applyNumberFormat="1" applyFont="1" applyFill="1" applyAlignment="1" applyProtection="1">
      <protection locked="0"/>
    </xf>
    <xf numFmtId="167" fontId="4" fillId="0" borderId="0" xfId="1689" applyNumberFormat="1" applyFont="1" applyFill="1" applyAlignment="1" applyProtection="1">
      <protection locked="0"/>
    </xf>
    <xf numFmtId="168" fontId="4" fillId="0" borderId="0" xfId="1689" applyNumberFormat="1" applyFont="1" applyFill="1" applyAlignment="1" applyProtection="1">
      <protection locked="0"/>
    </xf>
    <xf numFmtId="3" fontId="75" fillId="0" borderId="0" xfId="1689" applyNumberFormat="1" applyFont="1" applyFill="1" applyAlignment="1" applyProtection="1">
      <protection locked="0"/>
    </xf>
    <xf numFmtId="3" fontId="9" fillId="0" borderId="0" xfId="1689" applyNumberFormat="1" applyFont="1" applyFill="1" applyAlignment="1" applyProtection="1">
      <alignment horizontal="right"/>
      <protection locked="0"/>
    </xf>
    <xf numFmtId="41" fontId="9" fillId="0" borderId="0" xfId="1689" quotePrefix="1" applyNumberFormat="1" applyFont="1" applyFill="1" applyBorder="1" applyAlignment="1" applyProtection="1">
      <protection locked="0"/>
    </xf>
    <xf numFmtId="177" fontId="9" fillId="0" borderId="16" xfId="1689" applyNumberFormat="1" applyFont="1" applyFill="1" applyBorder="1" applyAlignment="1" applyProtection="1">
      <protection locked="0"/>
    </xf>
    <xf numFmtId="41" fontId="9" fillId="0" borderId="0" xfId="1689" applyNumberFormat="1" applyFont="1" applyFill="1" applyAlignment="1" applyProtection="1">
      <alignment horizontal="center"/>
      <protection locked="0"/>
    </xf>
    <xf numFmtId="41" fontId="10" fillId="0" borderId="0" xfId="0" applyNumberFormat="1" applyFont="1" applyFill="1"/>
    <xf numFmtId="10" fontId="9" fillId="0" borderId="0" xfId="0" applyNumberFormat="1" applyFont="1" applyFill="1"/>
    <xf numFmtId="10" fontId="10" fillId="0" borderId="0" xfId="0" applyNumberFormat="1" applyFont="1" applyFill="1"/>
    <xf numFmtId="43" fontId="9" fillId="0" borderId="0" xfId="381" applyNumberFormat="1" applyFont="1" applyFill="1"/>
    <xf numFmtId="173" fontId="9" fillId="0" borderId="0" xfId="0" applyNumberFormat="1" applyFont="1" applyFill="1"/>
    <xf numFmtId="0" fontId="6" fillId="0" borderId="0" xfId="1519" applyFont="1" applyFill="1" applyBorder="1"/>
    <xf numFmtId="170" fontId="4" fillId="0" borderId="22" xfId="1689" applyNumberFormat="1" applyFont="1" applyFill="1" applyBorder="1" applyAlignment="1" applyProtection="1">
      <protection locked="0"/>
    </xf>
    <xf numFmtId="171" fontId="4" fillId="0" borderId="0" xfId="1689" applyNumberFormat="1" applyFont="1" applyFill="1" applyProtection="1">
      <protection locked="0"/>
    </xf>
    <xf numFmtId="43" fontId="4" fillId="0" borderId="0" xfId="381" applyFont="1" applyFill="1" applyAlignment="1"/>
    <xf numFmtId="0" fontId="2" fillId="0" borderId="0" xfId="0" applyFont="1" applyFill="1"/>
    <xf numFmtId="3" fontId="4" fillId="0" borderId="0" xfId="1689" applyNumberFormat="1" applyFont="1" applyFill="1" applyAlignment="1" applyProtection="1">
      <alignment wrapText="1"/>
      <protection locked="0"/>
    </xf>
    <xf numFmtId="189" fontId="4" fillId="0" borderId="0" xfId="1689" applyNumberFormat="1" applyFont="1" applyFill="1" applyAlignment="1" applyProtection="1">
      <protection locked="0"/>
    </xf>
    <xf numFmtId="178" fontId="4" fillId="0" borderId="0" xfId="1689" applyNumberFormat="1" applyFont="1" applyFill="1" applyAlignment="1" applyProtection="1">
      <protection locked="0"/>
    </xf>
    <xf numFmtId="166" fontId="4" fillId="0" borderId="0" xfId="1689" applyNumberFormat="1" applyFont="1" applyFill="1" applyAlignment="1" applyProtection="1">
      <protection locked="0"/>
    </xf>
    <xf numFmtId="37" fontId="9" fillId="0" borderId="0" xfId="0" applyNumberFormat="1" applyFont="1" applyFill="1"/>
    <xf numFmtId="37" fontId="9" fillId="0" borderId="0" xfId="381" applyNumberFormat="1" applyFont="1" applyFill="1"/>
    <xf numFmtId="37" fontId="9" fillId="0" borderId="24" xfId="0" applyNumberFormat="1" applyFont="1" applyFill="1" applyBorder="1"/>
    <xf numFmtId="37" fontId="9" fillId="0" borderId="0" xfId="1519" applyNumberFormat="1" applyFont="1" applyFill="1" applyBorder="1" applyAlignment="1">
      <alignment horizontal="left"/>
    </xf>
    <xf numFmtId="37" fontId="9" fillId="0" borderId="0" xfId="1519" applyNumberFormat="1" applyFont="1" applyFill="1" applyBorder="1"/>
    <xf numFmtId="37" fontId="9" fillId="0" borderId="0" xfId="590" applyNumberFormat="1" applyFont="1" applyFill="1" applyBorder="1" applyAlignment="1">
      <alignment horizontal="right"/>
    </xf>
    <xf numFmtId="37" fontId="9" fillId="0" borderId="0" xfId="1519" applyNumberFormat="1" applyFont="1" applyFill="1" applyBorder="1" applyAlignment="1">
      <alignment horizontal="right"/>
    </xf>
    <xf numFmtId="37" fontId="9" fillId="0" borderId="22" xfId="1519" applyNumberFormat="1" applyFont="1" applyFill="1" applyBorder="1" applyAlignment="1">
      <alignment horizontal="left"/>
    </xf>
    <xf numFmtId="37" fontId="9" fillId="0" borderId="22" xfId="590" applyNumberFormat="1" applyFont="1" applyFill="1" applyBorder="1" applyAlignment="1">
      <alignment horizontal="right"/>
    </xf>
    <xf numFmtId="37" fontId="9" fillId="0" borderId="0" xfId="0" applyNumberFormat="1" applyFont="1" applyFill="1" applyBorder="1"/>
    <xf numFmtId="0" fontId="76" fillId="0" borderId="0" xfId="1681" applyFont="1" applyFill="1" applyAlignment="1">
      <alignment horizontal="center"/>
    </xf>
    <xf numFmtId="0" fontId="76" fillId="0" borderId="0" xfId="0" applyFont="1" applyFill="1" applyAlignment="1">
      <alignment horizontal="center"/>
    </xf>
    <xf numFmtId="0" fontId="77" fillId="0" borderId="0" xfId="1681" applyFont="1" applyFill="1" applyAlignment="1">
      <alignment horizontal="center"/>
    </xf>
    <xf numFmtId="0" fontId="78" fillId="0" borderId="0" xfId="1681" applyFont="1" applyFill="1" applyBorder="1"/>
    <xf numFmtId="0" fontId="79" fillId="0" borderId="0" xfId="0" applyFont="1" applyFill="1" applyAlignment="1">
      <alignment horizontal="center"/>
    </xf>
    <xf numFmtId="0" fontId="4" fillId="0" borderId="0" xfId="1689" quotePrefix="1" applyNumberFormat="1" applyFont="1" applyFill="1" applyAlignment="1" applyProtection="1">
      <alignment horizontal="left"/>
      <protection locked="0"/>
    </xf>
    <xf numFmtId="10" fontId="4" fillId="0" borderId="0" xfId="1689" applyNumberFormat="1" applyFont="1" applyFill="1" applyAlignment="1"/>
    <xf numFmtId="43" fontId="4" fillId="0" borderId="0" xfId="381" applyFont="1" applyFill="1" applyAlignment="1" applyProtection="1">
      <protection locked="0"/>
    </xf>
    <xf numFmtId="37" fontId="9" fillId="0" borderId="0" xfId="0" applyNumberFormat="1" applyFont="1" applyFill="1" applyBorder="1" applyAlignment="1">
      <alignment horizontal="right"/>
    </xf>
    <xf numFmtId="37" fontId="9" fillId="0" borderId="0" xfId="1764" applyNumberFormat="1" applyFont="1" applyFill="1" applyBorder="1" applyAlignment="1"/>
    <xf numFmtId="40" fontId="4" fillId="0" borderId="0" xfId="1681" applyNumberFormat="1" applyFont="1" applyFill="1"/>
    <xf numFmtId="0" fontId="9" fillId="0" borderId="0" xfId="381" applyNumberFormat="1" applyFont="1" applyFill="1" applyAlignment="1" applyProtection="1">
      <protection locked="0"/>
    </xf>
    <xf numFmtId="37" fontId="9" fillId="0" borderId="0" xfId="1519" applyNumberFormat="1" applyFont="1" applyFill="1" applyBorder="1" applyAlignment="1"/>
    <xf numFmtId="37" fontId="9" fillId="0" borderId="22" xfId="381" applyNumberFormat="1" applyFont="1" applyFill="1" applyBorder="1" applyAlignment="1"/>
    <xf numFmtId="37" fontId="80" fillId="0" borderId="0" xfId="1681" applyNumberFormat="1" applyFont="1" applyFill="1" applyAlignment="1">
      <alignment horizontal="center"/>
    </xf>
    <xf numFmtId="3" fontId="9" fillId="0" borderId="0" xfId="1519" quotePrefix="1" applyNumberFormat="1" applyFont="1" applyFill="1" applyBorder="1" applyAlignment="1">
      <alignment horizontal="center"/>
    </xf>
    <xf numFmtId="0" fontId="12" fillId="0" borderId="0" xfId="1681" quotePrefix="1" applyFont="1" applyFill="1" applyAlignment="1">
      <alignment horizontal="left"/>
    </xf>
    <xf numFmtId="3" fontId="9" fillId="0" borderId="0" xfId="1689" quotePrefix="1" applyNumberFormat="1" applyFont="1" applyFill="1" applyAlignment="1" applyProtection="1">
      <alignment horizontal="left"/>
      <protection locked="0"/>
    </xf>
    <xf numFmtId="0" fontId="9" fillId="0" borderId="25" xfId="0" quotePrefix="1" applyFont="1" applyFill="1" applyBorder="1" applyAlignment="1">
      <alignment horizontal="left"/>
    </xf>
    <xf numFmtId="10" fontId="9" fillId="0" borderId="0" xfId="1689" applyNumberFormat="1" applyFont="1" applyFill="1" applyAlignment="1" applyProtection="1">
      <protection locked="0"/>
    </xf>
    <xf numFmtId="3" fontId="10" fillId="0" borderId="0" xfId="1689" applyNumberFormat="1" applyFont="1" applyFill="1" applyAlignment="1" applyProtection="1">
      <alignment horizontal="center"/>
      <protection locked="0"/>
    </xf>
    <xf numFmtId="167" fontId="9" fillId="0" borderId="0" xfId="1689" applyNumberFormat="1" applyFont="1" applyFill="1" applyAlignment="1" applyProtection="1">
      <protection locked="0"/>
    </xf>
    <xf numFmtId="172" fontId="9" fillId="0" borderId="0" xfId="1689" applyFont="1" applyFill="1" applyAlignment="1" applyProtection="1">
      <protection locked="0"/>
    </xf>
    <xf numFmtId="3" fontId="9" fillId="0" borderId="0" xfId="1689" applyNumberFormat="1" applyFont="1" applyFill="1" applyAlignment="1" applyProtection="1">
      <alignment vertical="center" wrapText="1"/>
      <protection locked="0"/>
    </xf>
    <xf numFmtId="41" fontId="64" fillId="0" borderId="0" xfId="0" applyNumberFormat="1" applyFont="1" applyFill="1"/>
    <xf numFmtId="0" fontId="9" fillId="0" borderId="0" xfId="0" applyFont="1" applyFill="1" applyAlignment="1">
      <alignment vertical="center" wrapText="1"/>
    </xf>
    <xf numFmtId="37" fontId="81" fillId="0" borderId="0" xfId="1681" applyNumberFormat="1" applyFont="1" applyFill="1"/>
    <xf numFmtId="43" fontId="9" fillId="0" borderId="0" xfId="381" applyNumberFormat="1" applyFont="1" applyFill="1" applyAlignment="1" applyProtection="1">
      <protection locked="0"/>
    </xf>
    <xf numFmtId="0" fontId="6" fillId="0" borderId="0" xfId="1519" quotePrefix="1" applyNumberFormat="1" applyFont="1" applyFill="1" applyBorder="1" applyAlignment="1">
      <alignment horizontal="left"/>
    </xf>
    <xf numFmtId="0" fontId="14" fillId="0" borderId="0" xfId="1519" quotePrefix="1" applyFont="1" applyFill="1" applyBorder="1" applyAlignment="1">
      <alignment horizontal="left"/>
    </xf>
    <xf numFmtId="0" fontId="14" fillId="0" borderId="0" xfId="1519" quotePrefix="1" applyNumberFormat="1" applyFont="1" applyFill="1" applyBorder="1" applyAlignment="1">
      <alignment horizontal="left"/>
    </xf>
    <xf numFmtId="0" fontId="9" fillId="0" borderId="0" xfId="1519" applyFont="1" applyFill="1" applyBorder="1" applyAlignment="1">
      <alignment horizontal="center" vertical="center"/>
    </xf>
    <xf numFmtId="0" fontId="9" fillId="0" borderId="0" xfId="1519" applyNumberFormat="1" applyFont="1" applyFill="1" applyBorder="1" applyAlignment="1">
      <alignment horizontal="center" vertical="center"/>
    </xf>
    <xf numFmtId="0" fontId="6" fillId="0" borderId="0" xfId="1519" quotePrefix="1" applyNumberFormat="1" applyFont="1" applyFill="1" applyBorder="1" applyAlignment="1">
      <alignment horizontal="left" vertical="center" wrapText="1"/>
    </xf>
    <xf numFmtId="3" fontId="9" fillId="0" borderId="0" xfId="1519" applyNumberFormat="1" applyFont="1" applyFill="1" applyBorder="1" applyAlignment="1">
      <alignment vertical="center"/>
    </xf>
    <xf numFmtId="192" fontId="12" fillId="0" borderId="0" xfId="1681" applyNumberFormat="1" applyFont="1" applyFill="1"/>
    <xf numFmtId="0" fontId="4" fillId="0" borderId="0" xfId="0" applyFont="1" applyFill="1" applyAlignment="1">
      <alignment horizontal="center"/>
    </xf>
    <xf numFmtId="173" fontId="57" fillId="0" borderId="22" xfId="381" applyNumberFormat="1" applyFont="1" applyFill="1" applyBorder="1"/>
    <xf numFmtId="10" fontId="4" fillId="0" borderId="0" xfId="1724" applyNumberFormat="1" applyFont="1" applyFill="1" applyAlignment="1">
      <alignment horizontal="right"/>
    </xf>
    <xf numFmtId="3" fontId="9" fillId="0" borderId="0" xfId="1519" applyNumberFormat="1" applyFont="1" applyFill="1" applyBorder="1" applyAlignment="1">
      <alignment horizontal="left"/>
    </xf>
    <xf numFmtId="172" fontId="5" fillId="0" borderId="0" xfId="1689" applyFont="1" applyFill="1" applyAlignment="1"/>
    <xf numFmtId="38" fontId="76" fillId="0" borderId="0" xfId="0" applyNumberFormat="1" applyFont="1" applyFill="1" applyAlignment="1">
      <alignment horizontal="center"/>
    </xf>
    <xf numFmtId="37" fontId="5" fillId="0" borderId="0" xfId="381" applyNumberFormat="1" applyFont="1" applyFill="1" applyAlignment="1">
      <alignment horizontal="center"/>
    </xf>
    <xf numFmtId="0" fontId="13" fillId="0" borderId="0" xfId="1681" quotePrefix="1" applyFont="1" applyFill="1" applyAlignment="1">
      <alignment horizontal="left"/>
    </xf>
    <xf numFmtId="0" fontId="9" fillId="0" borderId="0" xfId="0" quotePrefix="1" applyFont="1" applyFill="1" applyAlignment="1">
      <alignment horizontal="left"/>
    </xf>
    <xf numFmtId="38" fontId="9" fillId="0" borderId="24" xfId="0" applyNumberFormat="1" applyFont="1" applyFill="1" applyBorder="1"/>
    <xf numFmtId="38" fontId="12" fillId="0" borderId="0" xfId="1681" applyNumberFormat="1" applyFont="1" applyFill="1"/>
    <xf numFmtId="3" fontId="12" fillId="0" borderId="0" xfId="1681" applyNumberFormat="1" applyFont="1" applyFill="1"/>
    <xf numFmtId="0" fontId="4" fillId="0" borderId="0" xfId="1681" applyFont="1" applyFill="1" applyAlignment="1">
      <alignment horizontal="center" vertical="center"/>
    </xf>
    <xf numFmtId="3" fontId="7" fillId="0" borderId="0" xfId="1689" applyNumberFormat="1" applyFont="1" applyFill="1" applyAlignment="1" applyProtection="1">
      <alignment horizontal="center"/>
      <protection locked="0"/>
    </xf>
    <xf numFmtId="0" fontId="4" fillId="0" borderId="0" xfId="0" applyNumberFormat="1" applyFont="1" applyFill="1" applyAlignment="1">
      <alignment wrapText="1"/>
    </xf>
    <xf numFmtId="172" fontId="61" fillId="0" borderId="0" xfId="1689" applyFont="1" applyFill="1" applyAlignment="1">
      <alignment horizontal="center" wrapText="1"/>
    </xf>
    <xf numFmtId="0" fontId="3" fillId="0" borderId="0" xfId="0" applyFont="1" applyFill="1" applyAlignment="1">
      <alignment wrapText="1"/>
    </xf>
    <xf numFmtId="49" fontId="4" fillId="0" borderId="0" xfId="1519" applyNumberFormat="1" applyFont="1" applyFill="1" applyBorder="1" applyAlignment="1">
      <alignment horizontal="center"/>
    </xf>
    <xf numFmtId="0" fontId="4" fillId="0" borderId="0" xfId="0" applyFont="1" applyFill="1" applyAlignment="1">
      <alignment horizontal="center" vertical="center"/>
    </xf>
    <xf numFmtId="0" fontId="9" fillId="0" borderId="0" xfId="0" applyFont="1" applyFill="1" applyAlignment="1">
      <alignment horizontal="center" wrapText="1"/>
    </xf>
    <xf numFmtId="0" fontId="9" fillId="0" borderId="0" xfId="0" applyFont="1" applyFill="1" applyAlignment="1">
      <alignment wrapText="1"/>
    </xf>
    <xf numFmtId="0" fontId="78" fillId="0" borderId="0" xfId="1681" applyFont="1" applyFill="1" applyBorder="1" applyAlignment="1">
      <alignment horizontal="left"/>
    </xf>
    <xf numFmtId="0" fontId="9" fillId="0" borderId="0" xfId="1681" applyFont="1" applyFill="1" applyAlignment="1">
      <alignment horizontal="left"/>
    </xf>
    <xf numFmtId="173" fontId="9" fillId="0" borderId="0" xfId="1724" applyNumberFormat="1" applyFont="1" applyFill="1" applyBorder="1"/>
    <xf numFmtId="41" fontId="9" fillId="0" borderId="0" xfId="1724" applyNumberFormat="1" applyFont="1" applyFill="1" applyBorder="1"/>
    <xf numFmtId="186" fontId="9" fillId="0" borderId="0" xfId="381" applyNumberFormat="1" applyFont="1" applyFill="1" applyBorder="1"/>
    <xf numFmtId="0" fontId="15" fillId="0" borderId="0" xfId="1687" applyFont="1" applyFill="1" applyAlignment="1">
      <alignment horizontal="center"/>
    </xf>
    <xf numFmtId="0" fontId="15" fillId="0" borderId="0" xfId="1687" applyFont="1" applyFill="1" applyAlignment="1">
      <alignment horizontal="left" indent="2"/>
    </xf>
    <xf numFmtId="39" fontId="15" fillId="0" borderId="0" xfId="1687" applyNumberFormat="1" applyFont="1" applyFill="1"/>
    <xf numFmtId="184" fontId="6" fillId="0" borderId="0" xfId="1690" quotePrefix="1" applyNumberFormat="1" applyFont="1" applyFill="1" applyAlignment="1">
      <alignment horizontal="left"/>
    </xf>
    <xf numFmtId="0" fontId="4" fillId="0" borderId="0" xfId="1681" applyFont="1" applyFill="1" applyAlignment="1">
      <alignment horizontal="left"/>
    </xf>
    <xf numFmtId="0" fontId="82" fillId="0" borderId="0" xfId="1681" applyFont="1" applyFill="1" applyBorder="1"/>
    <xf numFmtId="41" fontId="4" fillId="0" borderId="0" xfId="1681" applyNumberFormat="1" applyFont="1" applyFill="1"/>
    <xf numFmtId="41" fontId="4" fillId="0" borderId="0" xfId="1681" applyNumberFormat="1" applyFont="1" applyFill="1" applyBorder="1" applyAlignment="1">
      <alignment vertical="top"/>
    </xf>
    <xf numFmtId="180" fontId="4" fillId="0" borderId="0" xfId="1681" applyNumberFormat="1" applyFont="1" applyFill="1"/>
    <xf numFmtId="38" fontId="4" fillId="0" borderId="21" xfId="0" applyNumberFormat="1" applyFont="1" applyFill="1" applyBorder="1"/>
    <xf numFmtId="0" fontId="83" fillId="0" borderId="0" xfId="1681" applyFont="1" applyFill="1" applyBorder="1"/>
    <xf numFmtId="41" fontId="4" fillId="0" borderId="21" xfId="1681" applyNumberFormat="1" applyFont="1" applyFill="1" applyBorder="1"/>
    <xf numFmtId="174" fontId="9" fillId="0" borderId="0" xfId="0" applyNumberFormat="1" applyFont="1" applyFill="1" applyBorder="1"/>
    <xf numFmtId="0" fontId="6" fillId="0" borderId="0" xfId="0" quotePrefix="1" applyFont="1" applyFill="1" applyAlignment="1">
      <alignment horizontal="left"/>
    </xf>
    <xf numFmtId="10" fontId="9" fillId="0" borderId="0" xfId="0" applyNumberFormat="1" applyFont="1" applyFill="1" applyAlignment="1">
      <alignment horizontal="center"/>
    </xf>
    <xf numFmtId="14" fontId="9" fillId="0" borderId="0" xfId="1519" applyNumberFormat="1" applyFont="1" applyFill="1" applyBorder="1" applyAlignment="1">
      <alignment horizontal="center" wrapText="1"/>
    </xf>
    <xf numFmtId="172" fontId="2" fillId="0" borderId="0" xfId="1691" applyFont="1" applyFill="1" applyBorder="1" applyAlignment="1"/>
    <xf numFmtId="173" fontId="9" fillId="0" borderId="21" xfId="0" applyNumberFormat="1" applyFont="1" applyFill="1" applyBorder="1"/>
    <xf numFmtId="173" fontId="6" fillId="0" borderId="0" xfId="1519" applyNumberFormat="1" applyFont="1" applyFill="1" applyBorder="1" applyAlignment="1">
      <alignment horizontal="left"/>
    </xf>
    <xf numFmtId="3" fontId="5" fillId="0" borderId="0" xfId="0" applyNumberFormat="1" applyFont="1" applyFill="1" applyAlignment="1">
      <alignment horizontal="center"/>
    </xf>
    <xf numFmtId="3" fontId="75" fillId="0" borderId="0" xfId="1689" applyNumberFormat="1" applyFont="1" applyFill="1" applyAlignment="1" applyProtection="1">
      <alignment vertical="center" wrapText="1"/>
      <protection locked="0"/>
    </xf>
    <xf numFmtId="172" fontId="75" fillId="0" borderId="0" xfId="1689" applyFont="1" applyFill="1" applyAlignment="1" applyProtection="1">
      <protection locked="0"/>
    </xf>
    <xf numFmtId="37" fontId="4" fillId="0" borderId="0" xfId="1681" applyNumberFormat="1" applyFont="1" applyFill="1"/>
    <xf numFmtId="37" fontId="4" fillId="0" borderId="0" xfId="1681" applyNumberFormat="1" applyFont="1" applyFill="1" applyBorder="1" applyAlignment="1">
      <alignment vertical="top"/>
    </xf>
    <xf numFmtId="37" fontId="4" fillId="0" borderId="21" xfId="0" applyNumberFormat="1" applyFont="1" applyFill="1" applyBorder="1"/>
    <xf numFmtId="37" fontId="4" fillId="0" borderId="0" xfId="0" applyNumberFormat="1" applyFont="1" applyFill="1"/>
    <xf numFmtId="38" fontId="9" fillId="0" borderId="0" xfId="0" quotePrefix="1" applyNumberFormat="1" applyFont="1" applyFill="1" applyBorder="1" applyAlignment="1">
      <alignment horizontal="right"/>
    </xf>
    <xf numFmtId="49" fontId="5" fillId="0" borderId="0" xfId="1689" applyNumberFormat="1" applyFont="1" applyFill="1" applyAlignment="1" applyProtection="1">
      <alignment horizontal="center"/>
      <protection locked="0"/>
    </xf>
    <xf numFmtId="0" fontId="9" fillId="0" borderId="0" xfId="0" applyFont="1" applyFill="1" applyAlignment="1">
      <alignment vertical="center"/>
    </xf>
    <xf numFmtId="49" fontId="4" fillId="0" borderId="0" xfId="1689" applyNumberFormat="1" applyFont="1" applyFill="1" applyAlignment="1" applyProtection="1">
      <alignment horizontal="center"/>
      <protection locked="0"/>
    </xf>
    <xf numFmtId="0" fontId="5" fillId="0" borderId="0" xfId="1689" applyNumberFormat="1" applyFont="1" applyFill="1" applyAlignment="1" applyProtection="1">
      <alignment horizontal="center"/>
      <protection locked="0"/>
    </xf>
    <xf numFmtId="0" fontId="2" fillId="0" borderId="11" xfId="1689" applyNumberFormat="1" applyFont="1" applyFill="1" applyBorder="1" applyAlignment="1" applyProtection="1">
      <alignment horizontal="center"/>
      <protection locked="0"/>
    </xf>
    <xf numFmtId="170" fontId="4" fillId="0" borderId="0" xfId="1689" applyNumberFormat="1" applyFont="1" applyFill="1" applyProtection="1">
      <protection locked="0"/>
    </xf>
    <xf numFmtId="173" fontId="4" fillId="0" borderId="0" xfId="381" applyNumberFormat="1" applyFont="1" applyFill="1" applyBorder="1" applyAlignment="1" applyProtection="1">
      <protection locked="0"/>
    </xf>
    <xf numFmtId="0" fontId="4" fillId="0" borderId="0" xfId="1519" applyFont="1" applyFill="1" applyBorder="1" applyAlignment="1">
      <alignment horizontal="center"/>
    </xf>
    <xf numFmtId="3" fontId="3" fillId="0" borderId="0" xfId="0" applyNumberFormat="1" applyFont="1" applyFill="1" applyAlignment="1">
      <alignment horizontal="center"/>
    </xf>
    <xf numFmtId="164" fontId="9" fillId="0" borderId="0" xfId="1724" applyNumberFormat="1" applyFont="1" applyFill="1"/>
    <xf numFmtId="0" fontId="9" fillId="0" borderId="0" xfId="1690" applyFont="1" applyFill="1"/>
    <xf numFmtId="0" fontId="15" fillId="0" borderId="0" xfId="1690" applyNumberFormat="1" applyFont="1" applyFill="1" applyAlignment="1">
      <alignment horizontal="center"/>
    </xf>
    <xf numFmtId="0" fontId="9" fillId="0" borderId="0" xfId="1690" applyNumberFormat="1" applyFont="1" applyFill="1"/>
    <xf numFmtId="0" fontId="3" fillId="0" borderId="0" xfId="1690" applyNumberFormat="1" applyFont="1" applyFill="1" applyAlignment="1">
      <alignment horizontal="center"/>
    </xf>
    <xf numFmtId="0" fontId="3" fillId="0" borderId="0" xfId="1690" applyNumberFormat="1" applyFont="1" applyFill="1"/>
    <xf numFmtId="184" fontId="3" fillId="0" borderId="0" xfId="1690" applyNumberFormat="1" applyFont="1" applyFill="1" applyAlignment="1">
      <alignment horizontal="center"/>
    </xf>
    <xf numFmtId="0" fontId="59" fillId="0" borderId="0" xfId="1690" applyFont="1" applyFill="1"/>
    <xf numFmtId="0" fontId="6" fillId="0" borderId="0" xfId="1690" applyFont="1" applyFill="1"/>
    <xf numFmtId="0" fontId="3" fillId="0" borderId="16" xfId="1690" applyNumberFormat="1" applyFont="1" applyFill="1" applyBorder="1" applyAlignment="1">
      <alignment horizontal="center"/>
    </xf>
    <xf numFmtId="184" fontId="3" fillId="0" borderId="16" xfId="1690" applyNumberFormat="1" applyFont="1" applyFill="1" applyBorder="1" applyAlignment="1">
      <alignment horizontal="center"/>
    </xf>
    <xf numFmtId="0" fontId="59" fillId="0" borderId="16" xfId="1690" applyFont="1" applyFill="1" applyBorder="1" applyAlignment="1">
      <alignment horizontal="center"/>
    </xf>
    <xf numFmtId="0" fontId="6" fillId="0" borderId="0" xfId="1690" applyFont="1" applyFill="1" applyAlignment="1">
      <alignment horizontal="center"/>
    </xf>
    <xf numFmtId="0" fontId="15" fillId="0" borderId="0" xfId="1690" applyNumberFormat="1" applyFont="1" applyFill="1" applyBorder="1" applyAlignment="1">
      <alignment horizontal="center"/>
    </xf>
    <xf numFmtId="184" fontId="15" fillId="0" borderId="0" xfId="1690" applyNumberFormat="1" applyFont="1" applyFill="1" applyAlignment="1">
      <alignment horizontal="center"/>
    </xf>
    <xf numFmtId="184" fontId="15" fillId="0" borderId="0" xfId="1690" applyNumberFormat="1" applyFont="1" applyFill="1"/>
    <xf numFmtId="0" fontId="15" fillId="0" borderId="0" xfId="1690" applyFont="1" applyFill="1"/>
    <xf numFmtId="0" fontId="58" fillId="0" borderId="0" xfId="1690" applyFont="1" applyFill="1"/>
    <xf numFmtId="173" fontId="57" fillId="0" borderId="0" xfId="1690" applyNumberFormat="1" applyFont="1" applyFill="1" applyBorder="1"/>
    <xf numFmtId="0" fontId="57" fillId="0" borderId="0" xfId="1690" applyFont="1" applyFill="1" applyBorder="1"/>
    <xf numFmtId="173" fontId="60" fillId="0" borderId="0" xfId="381" applyNumberFormat="1" applyFont="1" applyFill="1"/>
    <xf numFmtId="43" fontId="57" fillId="0" borderId="0" xfId="381" applyFont="1" applyFill="1"/>
    <xf numFmtId="43" fontId="60" fillId="0" borderId="0" xfId="381" applyFont="1" applyFill="1"/>
    <xf numFmtId="173" fontId="57" fillId="0" borderId="0" xfId="1690" applyNumberFormat="1" applyFont="1" applyFill="1" applyBorder="1" applyAlignment="1">
      <alignment vertical="center"/>
    </xf>
    <xf numFmtId="0" fontId="57" fillId="0" borderId="0" xfId="1690" applyFont="1" applyFill="1" applyAlignment="1">
      <alignment vertical="center"/>
    </xf>
    <xf numFmtId="43" fontId="57" fillId="0" borderId="0" xfId="381" applyFont="1" applyFill="1" applyAlignment="1">
      <alignment vertical="center"/>
    </xf>
    <xf numFmtId="43" fontId="60" fillId="0" borderId="0" xfId="381" applyFont="1" applyFill="1" applyAlignment="1">
      <alignment horizontal="right" vertical="center"/>
    </xf>
    <xf numFmtId="0" fontId="9" fillId="0" borderId="0" xfId="1690" applyNumberFormat="1" applyFont="1" applyFill="1" applyAlignment="1">
      <alignment horizontal="center"/>
    </xf>
    <xf numFmtId="184" fontId="9" fillId="0" borderId="0" xfId="1690" applyNumberFormat="1" applyFont="1" applyFill="1"/>
    <xf numFmtId="0" fontId="15" fillId="0" borderId="0" xfId="0" applyFont="1" applyFill="1"/>
    <xf numFmtId="0" fontId="15" fillId="0" borderId="0" xfId="0" applyFont="1" applyFill="1" applyAlignment="1">
      <alignment horizontal="right"/>
    </xf>
    <xf numFmtId="191" fontId="9" fillId="0" borderId="0" xfId="0" applyNumberFormat="1" applyFont="1" applyFill="1"/>
    <xf numFmtId="10" fontId="4" fillId="0" borderId="16" xfId="1724" applyNumberFormat="1" applyFont="1" applyFill="1" applyBorder="1" applyAlignment="1" applyProtection="1">
      <protection locked="0"/>
    </xf>
    <xf numFmtId="173" fontId="4" fillId="0" borderId="21" xfId="381" applyNumberFormat="1" applyFont="1" applyFill="1" applyBorder="1" applyAlignment="1"/>
    <xf numFmtId="0" fontId="4" fillId="0" borderId="0" xfId="1519" applyFont="1" applyFill="1" applyBorder="1" applyAlignment="1"/>
    <xf numFmtId="3" fontId="5" fillId="0" borderId="0" xfId="0" applyNumberFormat="1" applyFont="1" applyFill="1" applyAlignment="1"/>
    <xf numFmtId="0" fontId="9" fillId="0" borderId="0" xfId="0" applyFont="1" applyFill="1" applyAlignment="1">
      <alignment horizontal="left"/>
    </xf>
    <xf numFmtId="0" fontId="61" fillId="0" borderId="0" xfId="0" applyFont="1" applyFill="1" applyAlignment="1">
      <alignment horizontal="right"/>
    </xf>
    <xf numFmtId="0" fontId="70" fillId="0" borderId="0" xfId="1692" applyFont="1" applyFill="1" applyAlignment="1">
      <alignment horizontal="right"/>
    </xf>
    <xf numFmtId="0" fontId="71" fillId="0" borderId="0" xfId="1692" applyFont="1" applyFill="1" applyAlignment="1">
      <alignment horizontal="right"/>
    </xf>
    <xf numFmtId="0" fontId="8" fillId="0" borderId="0" xfId="1692" applyFont="1" applyFill="1" applyAlignment="1">
      <alignment horizontal="center"/>
    </xf>
    <xf numFmtId="0" fontId="2" fillId="0" borderId="0" xfId="1692" applyFont="1" applyFill="1"/>
    <xf numFmtId="0" fontId="71" fillId="0" borderId="0" xfId="0" applyFont="1" applyFill="1" applyAlignment="1">
      <alignment horizontal="right"/>
    </xf>
    <xf numFmtId="0" fontId="4" fillId="0" borderId="0" xfId="1692" applyFont="1" applyFill="1" applyAlignment="1">
      <alignment horizontal="center"/>
    </xf>
    <xf numFmtId="173" fontId="4" fillId="0" borderId="0" xfId="1692" applyNumberFormat="1" applyFont="1" applyFill="1"/>
    <xf numFmtId="0" fontId="2" fillId="0" borderId="0" xfId="1692" quotePrefix="1" applyFont="1" applyFill="1" applyAlignment="1">
      <alignment horizontal="left"/>
    </xf>
    <xf numFmtId="0" fontId="5" fillId="0" borderId="0" xfId="1692" applyFont="1" applyFill="1"/>
    <xf numFmtId="43" fontId="9" fillId="0" borderId="0" xfId="381" applyFont="1" applyFill="1" applyAlignment="1" applyProtection="1">
      <protection locked="0"/>
    </xf>
    <xf numFmtId="172" fontId="9" fillId="0" borderId="26" xfId="1689" applyFont="1" applyFill="1" applyBorder="1" applyAlignment="1" applyProtection="1">
      <protection locked="0"/>
    </xf>
    <xf numFmtId="3" fontId="9" fillId="0" borderId="27" xfId="1689" applyNumberFormat="1" applyFont="1" applyFill="1" applyBorder="1" applyAlignment="1" applyProtection="1">
      <protection locked="0"/>
    </xf>
    <xf numFmtId="0" fontId="9" fillId="0" borderId="27" xfId="0" applyFont="1" applyFill="1" applyBorder="1"/>
    <xf numFmtId="166" fontId="9" fillId="0" borderId="0" xfId="1689" applyNumberFormat="1" applyFont="1" applyFill="1" applyBorder="1" applyAlignment="1" applyProtection="1">
      <alignment horizontal="center"/>
      <protection locked="0"/>
    </xf>
    <xf numFmtId="0" fontId="9" fillId="0" borderId="26" xfId="0" applyFont="1" applyFill="1" applyBorder="1"/>
    <xf numFmtId="174" fontId="9" fillId="0" borderId="27" xfId="0" applyNumberFormat="1" applyFont="1" applyFill="1" applyBorder="1"/>
    <xf numFmtId="173" fontId="9" fillId="0" borderId="0" xfId="0" applyNumberFormat="1" applyFont="1" applyFill="1" applyBorder="1"/>
    <xf numFmtId="178" fontId="9" fillId="0" borderId="0" xfId="1689" applyNumberFormat="1" applyFont="1" applyFill="1" applyAlignment="1" applyProtection="1">
      <protection locked="0"/>
    </xf>
    <xf numFmtId="41" fontId="9" fillId="0" borderId="0" xfId="1689" applyNumberFormat="1" applyFont="1" applyFill="1" applyBorder="1" applyAlignment="1" applyProtection="1">
      <alignment vertical="center"/>
      <protection locked="0"/>
    </xf>
    <xf numFmtId="41" fontId="9" fillId="0" borderId="0" xfId="1689" applyNumberFormat="1" applyFont="1" applyFill="1" applyBorder="1" applyAlignment="1" applyProtection="1">
      <alignment horizontal="center" vertical="center"/>
      <protection locked="0"/>
    </xf>
    <xf numFmtId="43" fontId="9" fillId="0" borderId="0" xfId="381" applyFont="1" applyFill="1"/>
    <xf numFmtId="0" fontId="14" fillId="0" borderId="0" xfId="0" quotePrefix="1" applyFont="1" applyFill="1" applyAlignment="1">
      <alignment horizontal="left"/>
    </xf>
    <xf numFmtId="0" fontId="9" fillId="0" borderId="28" xfId="0" applyFont="1" applyFill="1" applyBorder="1"/>
    <xf numFmtId="0" fontId="9" fillId="0" borderId="29" xfId="0" applyFont="1" applyFill="1" applyBorder="1"/>
    <xf numFmtId="0" fontId="9" fillId="0" borderId="30" xfId="0" applyFont="1" applyFill="1" applyBorder="1"/>
    <xf numFmtId="3" fontId="9" fillId="0" borderId="31" xfId="0" applyNumberFormat="1" applyFont="1" applyFill="1" applyBorder="1"/>
    <xf numFmtId="0" fontId="9" fillId="0" borderId="32" xfId="0" applyFont="1" applyFill="1" applyBorder="1"/>
    <xf numFmtId="0" fontId="9" fillId="0" borderId="33" xfId="0" applyFont="1" applyFill="1" applyBorder="1"/>
    <xf numFmtId="0" fontId="9" fillId="0" borderId="34" xfId="0" applyFont="1" applyFill="1" applyBorder="1"/>
    <xf numFmtId="173" fontId="9" fillId="0" borderId="35" xfId="0" applyNumberFormat="1" applyFont="1" applyFill="1" applyBorder="1"/>
    <xf numFmtId="49" fontId="4" fillId="0" borderId="0" xfId="1681" applyNumberFormat="1" applyFont="1" applyFill="1" applyAlignment="1">
      <alignment horizontal="center"/>
    </xf>
    <xf numFmtId="173" fontId="9" fillId="0" borderId="16" xfId="0" applyNumberFormat="1" applyFont="1" applyFill="1" applyBorder="1"/>
    <xf numFmtId="174" fontId="9" fillId="0" borderId="0" xfId="0" applyNumberFormat="1" applyFont="1" applyFill="1"/>
    <xf numFmtId="0" fontId="6" fillId="0" borderId="0" xfId="1519" applyFont="1" applyFill="1" applyBorder="1" applyAlignment="1"/>
    <xf numFmtId="0" fontId="10" fillId="0" borderId="0" xfId="0" applyFont="1" applyFill="1" applyBorder="1"/>
    <xf numFmtId="3" fontId="10" fillId="0" borderId="0" xfId="1519" applyNumberFormat="1" applyFont="1" applyFill="1" applyBorder="1" applyAlignment="1">
      <alignment horizontal="center"/>
    </xf>
    <xf numFmtId="3" fontId="4" fillId="0" borderId="0" xfId="0" applyNumberFormat="1" applyFont="1" applyFill="1" applyBorder="1" applyAlignment="1">
      <alignment horizontal="center"/>
    </xf>
    <xf numFmtId="49" fontId="4" fillId="0" borderId="0" xfId="1519" applyNumberFormat="1" applyFont="1" applyFill="1" applyBorder="1" applyAlignment="1">
      <alignment horizontal="left"/>
    </xf>
    <xf numFmtId="173" fontId="9" fillId="0" borderId="21" xfId="0" applyNumberFormat="1" applyFont="1" applyFill="1" applyBorder="1" applyAlignment="1">
      <alignment vertical="center"/>
    </xf>
    <xf numFmtId="0" fontId="5" fillId="0" borderId="0" xfId="1689" applyNumberFormat="1" applyFont="1" applyFill="1" applyBorder="1" applyAlignment="1" applyProtection="1">
      <alignment horizontal="left"/>
      <protection locked="0"/>
    </xf>
    <xf numFmtId="14" fontId="5" fillId="0" borderId="0" xfId="1689" applyNumberFormat="1" applyFont="1" applyFill="1" applyBorder="1" applyAlignment="1" applyProtection="1">
      <protection locked="0"/>
    </xf>
    <xf numFmtId="39" fontId="4" fillId="0" borderId="0" xfId="381" applyNumberFormat="1" applyFont="1" applyFill="1" applyAlignment="1" applyProtection="1">
      <alignment horizontal="center"/>
      <protection locked="0"/>
    </xf>
    <xf numFmtId="0" fontId="4" fillId="0" borderId="11" xfId="1689" applyNumberFormat="1" applyFont="1" applyFill="1" applyBorder="1" applyAlignment="1" applyProtection="1">
      <alignment horizontal="centerContinuous"/>
      <protection locked="0"/>
    </xf>
    <xf numFmtId="0" fontId="4" fillId="0" borderId="0" xfId="0" applyNumberFormat="1" applyFont="1" applyFill="1" applyAlignment="1"/>
    <xf numFmtId="43" fontId="4" fillId="0" borderId="0" xfId="381" applyFont="1" applyFill="1" applyProtection="1">
      <protection locked="0"/>
    </xf>
    <xf numFmtId="42" fontId="4" fillId="0" borderId="0" xfId="1724" applyNumberFormat="1" applyFont="1" applyFill="1" applyAlignment="1"/>
    <xf numFmtId="49" fontId="4" fillId="0" borderId="0" xfId="1689" applyNumberFormat="1" applyFont="1" applyFill="1" applyAlignment="1" applyProtection="1">
      <alignment horizontal="left"/>
      <protection locked="0"/>
    </xf>
    <xf numFmtId="3" fontId="5" fillId="0" borderId="0" xfId="1689" applyNumberFormat="1" applyFont="1" applyFill="1" applyAlignment="1" applyProtection="1">
      <alignment horizontal="center"/>
      <protection locked="0"/>
    </xf>
    <xf numFmtId="172" fontId="5" fillId="0" borderId="0" xfId="1689" applyFont="1" applyFill="1" applyAlignment="1" applyProtection="1">
      <alignment horizontal="center"/>
      <protection locked="0"/>
    </xf>
    <xf numFmtId="0" fontId="7" fillId="0" borderId="0" xfId="1689" applyNumberFormat="1" applyFont="1" applyFill="1" applyAlignment="1" applyProtection="1">
      <alignment horizontal="center"/>
      <protection locked="0"/>
    </xf>
    <xf numFmtId="172" fontId="7" fillId="0" borderId="0" xfId="1689" applyFont="1" applyFill="1" applyBorder="1" applyAlignment="1" applyProtection="1">
      <alignment horizontal="center"/>
      <protection locked="0"/>
    </xf>
    <xf numFmtId="3" fontId="11" fillId="0" borderId="0" xfId="1689" applyNumberFormat="1" applyFont="1" applyFill="1" applyAlignment="1" applyProtection="1">
      <alignment horizontal="center"/>
      <protection locked="0"/>
    </xf>
    <xf numFmtId="0" fontId="4" fillId="0" borderId="0" xfId="1689" applyNumberFormat="1" applyFont="1" applyFill="1" applyAlignment="1"/>
    <xf numFmtId="41" fontId="4" fillId="0" borderId="36" xfId="1689" applyNumberFormat="1" applyFont="1" applyFill="1" applyBorder="1" applyAlignment="1" applyProtection="1">
      <protection locked="0"/>
    </xf>
    <xf numFmtId="3" fontId="4" fillId="0" borderId="0" xfId="1689" applyNumberFormat="1" applyFont="1" applyFill="1" applyAlignment="1" applyProtection="1">
      <alignment horizontal="right"/>
      <protection locked="0"/>
    </xf>
    <xf numFmtId="165" fontId="4" fillId="0" borderId="0" xfId="1689" applyNumberFormat="1" applyFont="1" applyFill="1" applyBorder="1" applyAlignment="1" applyProtection="1">
      <protection locked="0"/>
    </xf>
    <xf numFmtId="166" fontId="4" fillId="0" borderId="0" xfId="1689" applyNumberFormat="1" applyFont="1" applyFill="1" applyAlignment="1" applyProtection="1">
      <alignment horizontal="center"/>
      <protection locked="0"/>
    </xf>
    <xf numFmtId="188" fontId="4" fillId="0" borderId="0" xfId="1689" applyNumberFormat="1" applyFont="1" applyFill="1" applyAlignment="1" applyProtection="1">
      <alignment horizontal="center"/>
      <protection locked="0"/>
    </xf>
    <xf numFmtId="186" fontId="4" fillId="0" borderId="0" xfId="381" applyNumberFormat="1" applyFont="1" applyFill="1" applyAlignment="1" applyProtection="1">
      <alignment horizontal="center"/>
      <protection locked="0"/>
    </xf>
    <xf numFmtId="178" fontId="4" fillId="0" borderId="0" xfId="1689" applyNumberFormat="1" applyFont="1" applyFill="1" applyAlignment="1" applyProtection="1">
      <alignment horizontal="center"/>
      <protection locked="0"/>
    </xf>
    <xf numFmtId="179" fontId="4" fillId="0" borderId="0" xfId="1689" applyNumberFormat="1" applyFont="1" applyFill="1" applyAlignment="1" applyProtection="1">
      <protection locked="0"/>
    </xf>
    <xf numFmtId="173" fontId="4" fillId="0" borderId="22" xfId="381" applyNumberFormat="1" applyFont="1" applyFill="1" applyBorder="1" applyAlignment="1" applyProtection="1">
      <protection locked="0"/>
    </xf>
    <xf numFmtId="4" fontId="4" fillId="0" borderId="0" xfId="1689" applyNumberFormat="1" applyFont="1" applyFill="1" applyAlignment="1" applyProtection="1">
      <protection locked="0"/>
    </xf>
    <xf numFmtId="172" fontId="5" fillId="0" borderId="0" xfId="1689" applyFont="1" applyFill="1" applyAlignment="1">
      <alignment horizontal="right"/>
    </xf>
    <xf numFmtId="165" fontId="5" fillId="0" borderId="0" xfId="1689" applyNumberFormat="1" applyFont="1" applyFill="1" applyAlignment="1"/>
    <xf numFmtId="172" fontId="4" fillId="0" borderId="0" xfId="1689" applyNumberFormat="1" applyFont="1" applyFill="1" applyAlignment="1" applyProtection="1">
      <protection locked="0"/>
    </xf>
    <xf numFmtId="172" fontId="7" fillId="0" borderId="0" xfId="1689" applyFont="1" applyFill="1" applyAlignment="1" applyProtection="1">
      <alignment horizontal="center"/>
      <protection locked="0"/>
    </xf>
    <xf numFmtId="181" fontId="4" fillId="0" borderId="0" xfId="381" applyNumberFormat="1" applyFont="1" applyFill="1" applyAlignment="1"/>
    <xf numFmtId="43" fontId="4" fillId="0" borderId="0" xfId="381" applyFont="1" applyFill="1" applyAlignment="1">
      <alignment vertical="center"/>
    </xf>
    <xf numFmtId="173" fontId="4" fillId="0" borderId="0" xfId="381" applyNumberFormat="1" applyFont="1" applyFill="1" applyAlignment="1">
      <alignment vertical="center"/>
    </xf>
    <xf numFmtId="0" fontId="4" fillId="0" borderId="0" xfId="1475" applyFont="1" applyFill="1"/>
    <xf numFmtId="173" fontId="4" fillId="0" borderId="0" xfId="1692" applyNumberFormat="1" applyFont="1" applyFill="1" applyBorder="1"/>
    <xf numFmtId="14" fontId="84" fillId="0" borderId="0" xfId="0" applyNumberFormat="1" applyFont="1" applyFill="1" applyBorder="1" applyAlignment="1">
      <alignment horizontal="center" wrapText="1"/>
    </xf>
    <xf numFmtId="191" fontId="4" fillId="0" borderId="0" xfId="1724" applyNumberFormat="1" applyFont="1" applyFill="1" applyAlignment="1"/>
    <xf numFmtId="0" fontId="85" fillId="0" borderId="0" xfId="0" applyFont="1" applyFill="1"/>
    <xf numFmtId="3" fontId="7" fillId="0" borderId="0" xfId="1689" applyNumberFormat="1" applyFont="1" applyFill="1" applyAlignment="1" applyProtection="1">
      <alignment horizontal="center" wrapText="1"/>
      <protection locked="0"/>
    </xf>
    <xf numFmtId="44" fontId="4" fillId="0" borderId="0" xfId="1689" applyNumberFormat="1" applyFont="1" applyFill="1" applyAlignment="1" applyProtection="1">
      <alignment horizontal="right"/>
      <protection locked="0"/>
    </xf>
    <xf numFmtId="10" fontId="4" fillId="29" borderId="0" xfId="1724" applyNumberFormat="1" applyFont="1" applyFill="1" applyAlignment="1" applyProtection="1">
      <protection locked="0"/>
    </xf>
    <xf numFmtId="1" fontId="9" fillId="29" borderId="0" xfId="1689" applyNumberFormat="1" applyFont="1" applyFill="1" applyBorder="1" applyAlignment="1" applyProtection="1">
      <alignment horizontal="center"/>
      <protection locked="0"/>
    </xf>
    <xf numFmtId="173" fontId="9" fillId="0" borderId="0" xfId="1689" quotePrefix="1" applyNumberFormat="1" applyFont="1" applyFill="1" applyBorder="1" applyAlignment="1" applyProtection="1">
      <alignment horizontal="center"/>
      <protection locked="0"/>
    </xf>
    <xf numFmtId="37" fontId="121" fillId="0" borderId="0" xfId="0" applyNumberFormat="1" applyFont="1" applyFill="1" applyAlignment="1"/>
    <xf numFmtId="175" fontId="121" fillId="0" borderId="0" xfId="0" applyNumberFormat="1" applyFont="1" applyFill="1" applyBorder="1" applyAlignment="1"/>
    <xf numFmtId="0" fontId="121" fillId="0" borderId="0" xfId="0" applyFont="1" applyFill="1"/>
    <xf numFmtId="0" fontId="15" fillId="0" borderId="0" xfId="0" applyFont="1" applyFill="1" applyAlignment="1">
      <alignment horizontal="center"/>
    </xf>
    <xf numFmtId="0" fontId="9" fillId="0" borderId="0" xfId="0" applyFont="1" applyFill="1" applyBorder="1" applyAlignment="1">
      <alignment wrapText="1"/>
    </xf>
    <xf numFmtId="173" fontId="9" fillId="0" borderId="37" xfId="0" applyNumberFormat="1" applyFont="1" applyFill="1" applyBorder="1"/>
    <xf numFmtId="173" fontId="9" fillId="0" borderId="38" xfId="0" applyNumberFormat="1" applyFont="1" applyFill="1" applyBorder="1"/>
    <xf numFmtId="0" fontId="124" fillId="0" borderId="39" xfId="0" quotePrefix="1" applyFont="1" applyFill="1" applyBorder="1" applyAlignment="1">
      <alignment horizontal="right"/>
    </xf>
    <xf numFmtId="10" fontId="124" fillId="0" borderId="39" xfId="0" applyNumberFormat="1" applyFont="1" applyFill="1" applyBorder="1"/>
    <xf numFmtId="173" fontId="124" fillId="0" borderId="39" xfId="381" applyNumberFormat="1" applyFont="1" applyFill="1" applyBorder="1"/>
    <xf numFmtId="167" fontId="124" fillId="0" borderId="39" xfId="0" applyNumberFormat="1" applyFont="1" applyFill="1" applyBorder="1"/>
    <xf numFmtId="41" fontId="124" fillId="0" borderId="26" xfId="0" applyNumberFormat="1" applyFont="1" applyFill="1" applyBorder="1"/>
    <xf numFmtId="10" fontId="124" fillId="0" borderId="26" xfId="0" applyNumberFormat="1" applyFont="1" applyFill="1" applyBorder="1"/>
    <xf numFmtId="173" fontId="124" fillId="0" borderId="39" xfId="0" applyNumberFormat="1" applyFont="1" applyFill="1" applyBorder="1"/>
    <xf numFmtId="173" fontId="124" fillId="0" borderId="40" xfId="0" applyNumberFormat="1" applyFont="1" applyFill="1" applyBorder="1"/>
    <xf numFmtId="173" fontId="124" fillId="0" borderId="41" xfId="0" applyNumberFormat="1" applyFont="1" applyFill="1" applyBorder="1"/>
    <xf numFmtId="0" fontId="9" fillId="0" borderId="0" xfId="0" applyFont="1"/>
    <xf numFmtId="0" fontId="9" fillId="0" borderId="0" xfId="0" applyFont="1" applyAlignment="1">
      <alignment horizontal="center"/>
    </xf>
    <xf numFmtId="10" fontId="9" fillId="0" borderId="0" xfId="0" applyNumberFormat="1" applyFont="1"/>
    <xf numFmtId="0" fontId="15" fillId="0" borderId="0" xfId="0" applyFont="1" applyAlignment="1">
      <alignment horizontal="right"/>
    </xf>
    <xf numFmtId="0" fontId="9" fillId="0" borderId="0" xfId="0" applyFont="1" applyBorder="1"/>
    <xf numFmtId="0" fontId="15" fillId="0" borderId="0" xfId="0" quotePrefix="1" applyFont="1" applyAlignment="1">
      <alignment horizontal="right"/>
    </xf>
    <xf numFmtId="173" fontId="9" fillId="0" borderId="0" xfId="589" applyNumberFormat="1" applyFont="1" applyBorder="1"/>
    <xf numFmtId="0" fontId="87" fillId="0" borderId="0" xfId="0" applyFont="1"/>
    <xf numFmtId="0" fontId="6" fillId="0" borderId="0" xfId="0" applyFont="1" applyAlignment="1">
      <alignment horizontal="left"/>
    </xf>
    <xf numFmtId="0" fontId="6" fillId="0" borderId="24" xfId="0" applyFont="1" applyBorder="1"/>
    <xf numFmtId="0" fontId="9" fillId="0" borderId="24" xfId="0" applyFont="1" applyBorder="1"/>
    <xf numFmtId="173" fontId="6" fillId="0" borderId="28" xfId="589" applyNumberFormat="1" applyFont="1" applyBorder="1"/>
    <xf numFmtId="0" fontId="5" fillId="0" borderId="0" xfId="0" applyFont="1" applyAlignment="1">
      <alignment horizontal="left"/>
    </xf>
    <xf numFmtId="0" fontId="4" fillId="0" borderId="0" xfId="589" applyNumberFormat="1" applyFont="1" applyFill="1" applyAlignment="1">
      <alignment horizontal="left"/>
    </xf>
    <xf numFmtId="0" fontId="4" fillId="0" borderId="0" xfId="589" applyNumberFormat="1" applyFont="1" applyFill="1" applyBorder="1" applyAlignment="1">
      <alignment horizontal="left"/>
    </xf>
    <xf numFmtId="0" fontId="5" fillId="0" borderId="0" xfId="589" applyNumberFormat="1" applyFont="1" applyFill="1" applyBorder="1" applyAlignment="1">
      <alignment horizontal="left"/>
    </xf>
    <xf numFmtId="173" fontId="6" fillId="0" borderId="32" xfId="589" applyNumberFormat="1" applyFont="1" applyBorder="1"/>
    <xf numFmtId="173" fontId="6" fillId="0" borderId="42" xfId="589" applyNumberFormat="1" applyFont="1" applyBorder="1"/>
    <xf numFmtId="173" fontId="9" fillId="0" borderId="11" xfId="589" applyNumberFormat="1" applyFont="1" applyBorder="1"/>
    <xf numFmtId="173" fontId="9" fillId="0" borderId="34" xfId="589" applyNumberFormat="1" applyFont="1" applyBorder="1"/>
    <xf numFmtId="0" fontId="6" fillId="0" borderId="43" xfId="0" applyFont="1" applyFill="1" applyBorder="1" applyAlignment="1">
      <alignment horizontal="center"/>
    </xf>
    <xf numFmtId="0" fontId="6" fillId="0" borderId="44" xfId="0" applyFont="1" applyFill="1" applyBorder="1" applyAlignment="1">
      <alignment horizontal="center"/>
    </xf>
    <xf numFmtId="0" fontId="6" fillId="0" borderId="45" xfId="0" applyFont="1" applyFill="1" applyBorder="1" applyAlignment="1">
      <alignment horizontal="center"/>
    </xf>
    <xf numFmtId="0" fontId="9" fillId="0" borderId="0" xfId="0" applyFont="1" applyBorder="1" applyAlignment="1">
      <alignment horizontal="center"/>
    </xf>
    <xf numFmtId="0" fontId="6" fillId="0" borderId="28" xfId="0" applyFont="1" applyFill="1" applyBorder="1" applyAlignment="1">
      <alignment horizontal="center"/>
    </xf>
    <xf numFmtId="173" fontId="9" fillId="0" borderId="27" xfId="0" applyNumberFormat="1" applyFont="1" applyFill="1" applyBorder="1" applyAlignment="1">
      <alignment horizontal="right"/>
    </xf>
    <xf numFmtId="173" fontId="9" fillId="0" borderId="0" xfId="0" applyNumberFormat="1" applyFont="1" applyFill="1" applyBorder="1" applyAlignment="1">
      <alignment horizontal="right"/>
    </xf>
    <xf numFmtId="10" fontId="9" fillId="0" borderId="27" xfId="0" applyNumberFormat="1" applyFont="1" applyBorder="1"/>
    <xf numFmtId="10" fontId="9" fillId="0" borderId="0" xfId="0" applyNumberFormat="1" applyFont="1" applyBorder="1"/>
    <xf numFmtId="173" fontId="9" fillId="0" borderId="27" xfId="589" applyNumberFormat="1" applyFont="1" applyBorder="1"/>
    <xf numFmtId="0" fontId="6" fillId="0" borderId="46" xfId="0" applyFont="1" applyBorder="1" applyAlignment="1">
      <alignment horizontal="center"/>
    </xf>
    <xf numFmtId="173" fontId="6" fillId="0" borderId="46" xfId="589" applyNumberFormat="1" applyFont="1" applyBorder="1" applyAlignment="1">
      <alignment horizontal="center"/>
    </xf>
    <xf numFmtId="173" fontId="6" fillId="0" borderId="28" xfId="589" quotePrefix="1" applyNumberFormat="1" applyFont="1" applyBorder="1" applyAlignment="1">
      <alignment horizontal="center" wrapText="1"/>
    </xf>
    <xf numFmtId="0" fontId="6" fillId="0" borderId="35" xfId="0" applyFont="1" applyBorder="1" applyAlignment="1">
      <alignment horizontal="center"/>
    </xf>
    <xf numFmtId="173" fontId="6" fillId="0" borderId="46" xfId="589" quotePrefix="1" applyNumberFormat="1" applyFont="1" applyBorder="1" applyAlignment="1">
      <alignment horizontal="center" wrapText="1"/>
    </xf>
    <xf numFmtId="173" fontId="6" fillId="0" borderId="46" xfId="589" applyNumberFormat="1" applyFont="1" applyFill="1" applyBorder="1" applyAlignment="1">
      <alignment horizontal="center" wrapText="1"/>
    </xf>
    <xf numFmtId="173" fontId="6" fillId="0" borderId="46" xfId="589" applyNumberFormat="1" applyFont="1" applyBorder="1" applyAlignment="1">
      <alignment horizontal="center" wrapText="1"/>
    </xf>
    <xf numFmtId="0" fontId="6" fillId="0" borderId="47" xfId="0" applyFont="1" applyBorder="1" applyAlignment="1">
      <alignment horizontal="center"/>
    </xf>
    <xf numFmtId="173" fontId="6" fillId="0" borderId="34" xfId="589" applyNumberFormat="1" applyFont="1" applyBorder="1" applyAlignment="1">
      <alignment horizontal="center"/>
    </xf>
    <xf numFmtId="0" fontId="6" fillId="0" borderId="47" xfId="0" applyFont="1" applyFill="1" applyBorder="1" applyAlignment="1">
      <alignment horizontal="center"/>
    </xf>
    <xf numFmtId="0" fontId="6" fillId="0" borderId="35" xfId="0" applyFont="1" applyFill="1" applyBorder="1" applyAlignment="1">
      <alignment horizontal="center"/>
    </xf>
    <xf numFmtId="173" fontId="6" fillId="0" borderId="47" xfId="589" applyNumberFormat="1" applyFont="1" applyBorder="1" applyAlignment="1">
      <alignment horizontal="center"/>
    </xf>
    <xf numFmtId="173" fontId="6" fillId="0" borderId="47" xfId="589" applyNumberFormat="1" applyFont="1" applyFill="1" applyBorder="1" applyAlignment="1">
      <alignment horizontal="center"/>
    </xf>
    <xf numFmtId="173" fontId="6" fillId="0" borderId="42" xfId="589" applyNumberFormat="1" applyFont="1" applyFill="1" applyBorder="1" applyAlignment="1">
      <alignment horizontal="center"/>
    </xf>
    <xf numFmtId="0" fontId="9" fillId="0" borderId="35" xfId="0" applyNumberFormat="1" applyFont="1" applyBorder="1" applyAlignment="1">
      <alignment horizontal="center"/>
    </xf>
    <xf numFmtId="173" fontId="9" fillId="0" borderId="0" xfId="0" applyNumberFormat="1" applyFont="1" applyBorder="1"/>
    <xf numFmtId="173" fontId="9" fillId="0" borderId="46" xfId="589" applyNumberFormat="1" applyFont="1" applyBorder="1"/>
    <xf numFmtId="174" fontId="9" fillId="0" borderId="27" xfId="0" applyNumberFormat="1" applyFont="1" applyBorder="1"/>
    <xf numFmtId="174" fontId="9" fillId="0" borderId="46" xfId="0" applyNumberFormat="1" applyFont="1" applyBorder="1"/>
    <xf numFmtId="174" fontId="9" fillId="0" borderId="35" xfId="0" applyNumberFormat="1" applyFont="1" applyBorder="1"/>
    <xf numFmtId="173" fontId="9" fillId="0" borderId="35" xfId="0" applyNumberFormat="1" applyFont="1" applyBorder="1"/>
    <xf numFmtId="173" fontId="9" fillId="0" borderId="35" xfId="589" applyNumberFormat="1" applyFont="1" applyBorder="1"/>
    <xf numFmtId="173" fontId="9" fillId="0" borderId="35" xfId="589" applyNumberFormat="1" applyFont="1" applyFill="1" applyBorder="1"/>
    <xf numFmtId="0" fontId="9" fillId="0" borderId="47" xfId="0" applyNumberFormat="1" applyFont="1" applyBorder="1" applyAlignment="1">
      <alignment horizontal="center"/>
    </xf>
    <xf numFmtId="173" fontId="9" fillId="0" borderId="47" xfId="0" applyNumberFormat="1" applyFont="1" applyBorder="1"/>
    <xf numFmtId="173" fontId="9" fillId="0" borderId="47" xfId="589" applyNumberFormat="1" applyFont="1" applyFill="1" applyBorder="1"/>
    <xf numFmtId="174" fontId="9" fillId="0" borderId="34" xfId="0" applyNumberFormat="1" applyFont="1" applyBorder="1"/>
    <xf numFmtId="174" fontId="9" fillId="0" borderId="47" xfId="0" applyNumberFormat="1" applyFont="1" applyBorder="1"/>
    <xf numFmtId="174" fontId="9" fillId="0" borderId="0" xfId="0" applyNumberFormat="1" applyFont="1" applyBorder="1"/>
    <xf numFmtId="173" fontId="9" fillId="0" borderId="0" xfId="0" applyNumberFormat="1" applyFont="1"/>
    <xf numFmtId="0" fontId="9" fillId="0" borderId="0" xfId="0" applyFont="1" applyAlignment="1">
      <alignment horizontal="left"/>
    </xf>
    <xf numFmtId="0" fontId="15" fillId="0" borderId="0" xfId="0" quotePrefix="1" applyFont="1" applyAlignment="1">
      <alignment horizontal="center"/>
    </xf>
    <xf numFmtId="41" fontId="75" fillId="0" borderId="0" xfId="1689" applyNumberFormat="1" applyFont="1" applyFill="1" applyBorder="1" applyAlignment="1" applyProtection="1">
      <protection locked="0"/>
    </xf>
    <xf numFmtId="0" fontId="79" fillId="0" borderId="0" xfId="0" applyFont="1"/>
    <xf numFmtId="0" fontId="6" fillId="0" borderId="47" xfId="0" applyFont="1" applyBorder="1" applyAlignment="1">
      <alignment horizontal="center" wrapText="1"/>
    </xf>
    <xf numFmtId="173" fontId="6" fillId="0" borderId="28" xfId="589" quotePrefix="1" applyNumberFormat="1" applyFont="1" applyFill="1" applyBorder="1" applyAlignment="1">
      <alignment horizontal="center" wrapText="1"/>
    </xf>
    <xf numFmtId="173" fontId="6" fillId="0" borderId="34" xfId="589" applyNumberFormat="1" applyFont="1" applyFill="1" applyBorder="1" applyAlignment="1">
      <alignment horizontal="center"/>
    </xf>
    <xf numFmtId="0" fontId="9" fillId="0" borderId="26" xfId="0" quotePrefix="1" applyFont="1" applyFill="1" applyBorder="1" applyAlignment="1">
      <alignment horizontal="left"/>
    </xf>
    <xf numFmtId="0" fontId="9" fillId="0" borderId="0" xfId="1475" applyFont="1"/>
    <xf numFmtId="173" fontId="9" fillId="0" borderId="0" xfId="589" applyNumberFormat="1" applyFont="1"/>
    <xf numFmtId="0" fontId="6" fillId="0" borderId="0" xfId="1475" applyFont="1"/>
    <xf numFmtId="0" fontId="6" fillId="0" borderId="0" xfId="1475" quotePrefix="1" applyFont="1" applyAlignment="1">
      <alignment horizontal="left"/>
    </xf>
    <xf numFmtId="0" fontId="14" fillId="0" borderId="0" xfId="1475" quotePrefix="1" applyFont="1" applyAlignment="1">
      <alignment horizontal="left"/>
    </xf>
    <xf numFmtId="173" fontId="4" fillId="0" borderId="2" xfId="1692" applyNumberFormat="1" applyFont="1" applyFill="1" applyBorder="1"/>
    <xf numFmtId="0" fontId="6" fillId="0" borderId="11" xfId="1475" applyFont="1" applyFill="1" applyBorder="1" applyAlignment="1">
      <alignment horizontal="center"/>
    </xf>
    <xf numFmtId="173" fontId="6" fillId="0" borderId="46" xfId="589" applyNumberFormat="1" applyFont="1" applyFill="1" applyBorder="1" applyAlignment="1">
      <alignment horizontal="center"/>
    </xf>
    <xf numFmtId="1" fontId="6" fillId="0" borderId="28" xfId="1475" applyNumberFormat="1" applyFont="1" applyFill="1" applyBorder="1" applyAlignment="1">
      <alignment horizontal="center"/>
    </xf>
    <xf numFmtId="0" fontId="9" fillId="0" borderId="0" xfId="1475"/>
    <xf numFmtId="0" fontId="9" fillId="0" borderId="0" xfId="1475" applyFont="1" applyAlignment="1">
      <alignment horizontal="center"/>
    </xf>
    <xf numFmtId="0" fontId="9" fillId="0" borderId="0" xfId="1475" applyFont="1" applyBorder="1"/>
    <xf numFmtId="0" fontId="54" fillId="0" borderId="0" xfId="1475" applyFont="1" applyFill="1"/>
    <xf numFmtId="0" fontId="5" fillId="0" borderId="0" xfId="1475" applyFont="1" applyAlignment="1">
      <alignment horizontal="left"/>
    </xf>
    <xf numFmtId="0" fontId="9" fillId="0" borderId="0" xfId="1475" applyFont="1" applyFill="1" applyBorder="1"/>
    <xf numFmtId="10" fontId="9" fillId="0" borderId="0" xfId="1475" applyNumberFormat="1" applyFont="1" applyBorder="1"/>
    <xf numFmtId="10" fontId="9" fillId="0" borderId="0" xfId="1475" applyNumberFormat="1" applyFont="1"/>
    <xf numFmtId="173" fontId="9" fillId="0" borderId="0" xfId="1475" applyNumberFormat="1" applyFont="1"/>
    <xf numFmtId="0" fontId="15" fillId="0" borderId="0" xfId="1475" applyFont="1" applyAlignment="1">
      <alignment horizontal="right"/>
    </xf>
    <xf numFmtId="0" fontId="6" fillId="0" borderId="0" xfId="1475" applyFont="1" applyFill="1"/>
    <xf numFmtId="0" fontId="9" fillId="0" borderId="0" xfId="1475" applyFont="1" applyFill="1" applyAlignment="1">
      <alignment wrapText="1"/>
    </xf>
    <xf numFmtId="0" fontId="6" fillId="0" borderId="0" xfId="1475" applyFont="1" applyFill="1" applyBorder="1" applyAlignment="1">
      <alignment horizontal="center"/>
    </xf>
    <xf numFmtId="0" fontId="9" fillId="0" borderId="0" xfId="1475" applyFont="1" applyBorder="1" applyAlignment="1">
      <alignment horizontal="center"/>
    </xf>
    <xf numFmtId="0" fontId="9" fillId="0" borderId="26" xfId="1475" applyFont="1" applyFill="1" applyBorder="1"/>
    <xf numFmtId="173" fontId="9" fillId="0" borderId="27" xfId="1475" applyNumberFormat="1" applyFont="1" applyFill="1" applyBorder="1" applyAlignment="1">
      <alignment horizontal="right"/>
    </xf>
    <xf numFmtId="173" fontId="9" fillId="0" borderId="0" xfId="1475" applyNumberFormat="1" applyFont="1" applyFill="1" applyBorder="1" applyAlignment="1">
      <alignment horizontal="right"/>
    </xf>
    <xf numFmtId="10" fontId="9" fillId="0" borderId="27" xfId="1475" applyNumberFormat="1" applyFont="1" applyBorder="1"/>
    <xf numFmtId="10" fontId="9" fillId="0" borderId="0" xfId="1475" applyNumberFormat="1" applyFont="1" applyFill="1" applyBorder="1"/>
    <xf numFmtId="0" fontId="6" fillId="0" borderId="47" xfId="1475" applyFont="1" applyBorder="1" applyAlignment="1">
      <alignment horizontal="center"/>
    </xf>
    <xf numFmtId="0" fontId="6" fillId="0" borderId="47" xfId="1475" applyFont="1" applyFill="1" applyBorder="1" applyAlignment="1">
      <alignment horizontal="center"/>
    </xf>
    <xf numFmtId="0" fontId="6" fillId="0" borderId="35" xfId="1475" applyFont="1" applyFill="1" applyBorder="1" applyAlignment="1">
      <alignment horizontal="center"/>
    </xf>
    <xf numFmtId="0" fontId="9" fillId="0" borderId="35" xfId="1475" applyNumberFormat="1" applyFont="1" applyBorder="1" applyAlignment="1">
      <alignment horizontal="center"/>
    </xf>
    <xf numFmtId="173" fontId="9" fillId="0" borderId="0" xfId="1475" applyNumberFormat="1" applyFont="1" applyBorder="1"/>
    <xf numFmtId="0" fontId="9" fillId="0" borderId="47" xfId="1475" applyNumberFormat="1" applyFont="1" applyBorder="1" applyAlignment="1">
      <alignment horizontal="center"/>
    </xf>
    <xf numFmtId="174" fontId="9" fillId="0" borderId="0" xfId="1475" applyNumberFormat="1" applyFont="1" applyBorder="1"/>
    <xf numFmtId="0" fontId="5" fillId="0" borderId="0" xfId="1475" applyFont="1" applyFill="1"/>
    <xf numFmtId="173" fontId="6" fillId="0" borderId="0" xfId="589" applyNumberFormat="1" applyFont="1" applyBorder="1"/>
    <xf numFmtId="173" fontId="9" fillId="0" borderId="27" xfId="1475" applyNumberFormat="1" applyFont="1" applyBorder="1"/>
    <xf numFmtId="173" fontId="6" fillId="0" borderId="16" xfId="589" applyNumberFormat="1" applyFont="1" applyBorder="1"/>
    <xf numFmtId="173" fontId="9" fillId="0" borderId="32" xfId="1475" applyNumberFormat="1" applyFont="1" applyBorder="1"/>
    <xf numFmtId="0" fontId="9" fillId="0" borderId="42" xfId="1475" applyFont="1" applyBorder="1"/>
    <xf numFmtId="173" fontId="6" fillId="0" borderId="11" xfId="589" applyNumberFormat="1" applyFont="1" applyFill="1" applyBorder="1" applyAlignment="1">
      <alignment horizontal="left"/>
    </xf>
    <xf numFmtId="173" fontId="6" fillId="0" borderId="34" xfId="589" applyNumberFormat="1" applyFont="1" applyFill="1" applyBorder="1" applyAlignment="1">
      <alignment horizontal="left"/>
    </xf>
    <xf numFmtId="0" fontId="9" fillId="0" borderId="43" xfId="1475" applyFont="1" applyFill="1" applyBorder="1" applyAlignment="1">
      <alignment horizontal="center"/>
    </xf>
    <xf numFmtId="0" fontId="9" fillId="0" borderId="11" xfId="1475" applyFont="1" applyBorder="1" applyAlignment="1">
      <alignment horizontal="center"/>
    </xf>
    <xf numFmtId="0" fontId="6" fillId="0" borderId="46" xfId="1475" applyFont="1" applyBorder="1" applyAlignment="1">
      <alignment horizontal="center" wrapText="1"/>
    </xf>
    <xf numFmtId="0" fontId="6" fillId="0" borderId="35" xfId="1475" applyFont="1" applyBorder="1" applyAlignment="1">
      <alignment horizontal="center" wrapText="1"/>
    </xf>
    <xf numFmtId="0" fontId="8" fillId="0" borderId="0" xfId="1475" quotePrefix="1" applyFont="1" applyAlignment="1">
      <alignment horizontal="left"/>
    </xf>
    <xf numFmtId="0" fontId="15" fillId="0" borderId="0" xfId="1475" quotePrefix="1" applyFont="1" applyAlignment="1">
      <alignment horizontal="right"/>
    </xf>
    <xf numFmtId="172" fontId="9" fillId="0" borderId="48" xfId="1689" applyFont="1" applyBorder="1" applyAlignment="1" applyProtection="1">
      <alignment horizontal="center"/>
      <protection locked="0"/>
    </xf>
    <xf numFmtId="172" fontId="9" fillId="0" borderId="48" xfId="1689" quotePrefix="1" applyFont="1" applyBorder="1" applyAlignment="1" applyProtection="1">
      <alignment horizontal="center"/>
      <protection locked="0"/>
    </xf>
    <xf numFmtId="3" fontId="9" fillId="0" borderId="49" xfId="1689" applyNumberFormat="1" applyFont="1" applyBorder="1" applyAlignment="1" applyProtection="1">
      <alignment horizontal="center"/>
      <protection locked="0"/>
    </xf>
    <xf numFmtId="0" fontId="9" fillId="0" borderId="42" xfId="1475" quotePrefix="1" applyFont="1" applyBorder="1" applyAlignment="1">
      <alignment horizontal="right"/>
    </xf>
    <xf numFmtId="0" fontId="9" fillId="0" borderId="26" xfId="1475" quotePrefix="1" applyFont="1" applyFill="1" applyBorder="1" applyAlignment="1">
      <alignment horizontal="left"/>
    </xf>
    <xf numFmtId="173" fontId="6" fillId="0" borderId="46" xfId="589" quotePrefix="1" applyNumberFormat="1" applyFont="1" applyFill="1" applyBorder="1" applyAlignment="1">
      <alignment horizontal="center" wrapText="1"/>
    </xf>
    <xf numFmtId="173" fontId="124" fillId="0" borderId="50" xfId="0" applyNumberFormat="1" applyFont="1" applyFill="1" applyBorder="1"/>
    <xf numFmtId="175" fontId="124" fillId="0" borderId="39" xfId="1724" applyNumberFormat="1" applyFont="1" applyFill="1" applyBorder="1"/>
    <xf numFmtId="41" fontId="124" fillId="0" borderId="39" xfId="0" applyNumberFormat="1" applyFont="1" applyFill="1" applyBorder="1"/>
    <xf numFmtId="174" fontId="9" fillId="0" borderId="46" xfId="1475" applyNumberFormat="1" applyFont="1" applyBorder="1"/>
    <xf numFmtId="174" fontId="9" fillId="0" borderId="35" xfId="1475" applyNumberFormat="1" applyFont="1" applyBorder="1"/>
    <xf numFmtId="173" fontId="9" fillId="0" borderId="35" xfId="1475" applyNumberFormat="1" applyFont="1" applyBorder="1"/>
    <xf numFmtId="173" fontId="9" fillId="0" borderId="47" xfId="1475" applyNumberFormat="1" applyFont="1" applyBorder="1"/>
    <xf numFmtId="174" fontId="9" fillId="0" borderId="47" xfId="1475" applyNumberFormat="1" applyFont="1" applyBorder="1"/>
    <xf numFmtId="173" fontId="9" fillId="0" borderId="46" xfId="1475" applyNumberFormat="1" applyFont="1" applyBorder="1"/>
    <xf numFmtId="173" fontId="9" fillId="0" borderId="11" xfId="1475" applyNumberFormat="1" applyFont="1" applyBorder="1"/>
    <xf numFmtId="170" fontId="9" fillId="0" borderId="35" xfId="589" applyNumberFormat="1" applyFont="1" applyFill="1" applyBorder="1"/>
    <xf numFmtId="170" fontId="9" fillId="0" borderId="27" xfId="589" applyNumberFormat="1" applyFont="1" applyFill="1" applyBorder="1"/>
    <xf numFmtId="43" fontId="16" fillId="30" borderId="0" xfId="381" applyFont="1" applyFill="1" applyBorder="1"/>
    <xf numFmtId="10" fontId="16" fillId="30" borderId="0" xfId="1724" applyNumberFormat="1" applyFont="1" applyFill="1" applyBorder="1"/>
    <xf numFmtId="173" fontId="9" fillId="0" borderId="2" xfId="1724" applyNumberFormat="1" applyFont="1" applyFill="1" applyBorder="1"/>
    <xf numFmtId="173" fontId="6" fillId="0" borderId="2" xfId="1724" applyNumberFormat="1" applyFont="1" applyFill="1" applyBorder="1"/>
    <xf numFmtId="173" fontId="9" fillId="0" borderId="2" xfId="381" applyNumberFormat="1" applyFont="1" applyFill="1" applyBorder="1"/>
    <xf numFmtId="41" fontId="9" fillId="0" borderId="2" xfId="1689" applyNumberFormat="1" applyFont="1" applyFill="1" applyBorder="1" applyAlignment="1" applyProtection="1">
      <protection locked="0"/>
    </xf>
    <xf numFmtId="173" fontId="86" fillId="30" borderId="0" xfId="381" applyNumberFormat="1" applyFont="1" applyFill="1" applyBorder="1"/>
    <xf numFmtId="0" fontId="5" fillId="0" borderId="0" xfId="0" applyFont="1" applyFill="1" applyAlignment="1">
      <alignment horizontal="center"/>
    </xf>
    <xf numFmtId="0" fontId="12" fillId="0" borderId="0" xfId="0" applyFont="1" applyAlignment="1">
      <alignment vertical="top" wrapText="1"/>
    </xf>
    <xf numFmtId="172" fontId="4" fillId="0" borderId="0" xfId="1689" applyFont="1" applyFill="1" applyAlignment="1">
      <alignment horizontal="center" vertical="top"/>
    </xf>
    <xf numFmtId="187" fontId="86" fillId="30" borderId="0" xfId="1724" applyNumberFormat="1" applyFont="1" applyFill="1" applyBorder="1"/>
    <xf numFmtId="0" fontId="3" fillId="0" borderId="0" xfId="1681" applyFont="1" applyFill="1" applyAlignment="1">
      <alignment horizontal="left"/>
    </xf>
    <xf numFmtId="0" fontId="5" fillId="0" borderId="0" xfId="0" quotePrefix="1" applyFont="1" applyFill="1" applyAlignment="1">
      <alignment horizontal="left"/>
    </xf>
    <xf numFmtId="0" fontId="6" fillId="0" borderId="16" xfId="0" applyFont="1" applyFill="1" applyBorder="1" applyAlignment="1">
      <alignment horizontal="center"/>
    </xf>
    <xf numFmtId="173" fontId="6" fillId="0" borderId="16" xfId="381" applyNumberFormat="1" applyFont="1" applyFill="1" applyBorder="1" applyAlignment="1">
      <alignment horizontal="center"/>
    </xf>
    <xf numFmtId="43" fontId="9" fillId="0" borderId="0" xfId="381" applyFont="1" applyFill="1" applyBorder="1"/>
    <xf numFmtId="37" fontId="9" fillId="0" borderId="0" xfId="0" applyNumberFormat="1" applyFont="1" applyFill="1" applyAlignment="1">
      <alignment horizontal="center"/>
    </xf>
    <xf numFmtId="0" fontId="6" fillId="0" borderId="0" xfId="0" applyFont="1" applyFill="1" applyAlignment="1">
      <alignment horizontal="right"/>
    </xf>
    <xf numFmtId="37" fontId="6" fillId="0" borderId="21" xfId="381" applyNumberFormat="1" applyFont="1" applyFill="1" applyBorder="1"/>
    <xf numFmtId="37" fontId="6" fillId="0" borderId="0" xfId="381" applyNumberFormat="1" applyFont="1" applyFill="1" applyBorder="1"/>
    <xf numFmtId="37" fontId="9" fillId="0" borderId="0" xfId="0" applyNumberFormat="1" applyFont="1" applyFill="1" applyAlignment="1">
      <alignment horizontal="left"/>
    </xf>
    <xf numFmtId="37" fontId="9" fillId="0" borderId="0" xfId="381" applyNumberFormat="1" applyFont="1" applyFill="1" applyBorder="1"/>
    <xf numFmtId="37" fontId="6" fillId="0" borderId="21" xfId="0" applyNumberFormat="1" applyFont="1" applyFill="1" applyBorder="1"/>
    <xf numFmtId="37" fontId="6" fillId="0" borderId="0" xfId="0" applyNumberFormat="1" applyFont="1" applyFill="1" applyBorder="1"/>
    <xf numFmtId="0" fontId="9" fillId="0" borderId="0" xfId="1681" applyFont="1" applyFill="1" applyAlignment="1">
      <alignment horizontal="center"/>
    </xf>
    <xf numFmtId="0" fontId="8" fillId="0" borderId="0" xfId="0" applyFont="1" applyFill="1" applyAlignment="1">
      <alignment horizontal="center"/>
    </xf>
    <xf numFmtId="0" fontId="6" fillId="0" borderId="0" xfId="1681" applyFont="1" applyFill="1" applyBorder="1" applyAlignment="1">
      <alignment horizontal="left"/>
    </xf>
    <xf numFmtId="9" fontId="6" fillId="0" borderId="0" xfId="1681" applyNumberFormat="1" applyFont="1" applyFill="1" applyAlignment="1">
      <alignment horizontal="center"/>
    </xf>
    <xf numFmtId="38" fontId="9" fillId="0" borderId="0" xfId="0" quotePrefix="1" applyNumberFormat="1" applyFont="1" applyFill="1" applyBorder="1" applyAlignment="1">
      <alignment horizontal="center"/>
    </xf>
    <xf numFmtId="41" fontId="9" fillId="0" borderId="16" xfId="1681" applyNumberFormat="1" applyFont="1" applyFill="1" applyBorder="1"/>
    <xf numFmtId="0" fontId="9" fillId="0" borderId="0" xfId="1681" applyFont="1" applyFill="1" applyAlignment="1">
      <alignment horizontal="center" vertical="top"/>
    </xf>
    <xf numFmtId="0" fontId="6" fillId="0" borderId="0" xfId="1681" applyFont="1" applyFill="1" applyBorder="1" applyAlignment="1">
      <alignment vertical="center"/>
    </xf>
    <xf numFmtId="37" fontId="9" fillId="0" borderId="0" xfId="1681" applyNumberFormat="1" applyFont="1" applyFill="1" applyAlignment="1">
      <alignment vertical="center"/>
    </xf>
    <xf numFmtId="175" fontId="10" fillId="0" borderId="0" xfId="1681" applyNumberFormat="1" applyFont="1" applyFill="1" applyAlignment="1">
      <alignment vertical="center"/>
    </xf>
    <xf numFmtId="37" fontId="9" fillId="0" borderId="0" xfId="1681" applyNumberFormat="1" applyFont="1" applyFill="1"/>
    <xf numFmtId="37" fontId="6" fillId="0" borderId="17" xfId="1681" applyNumberFormat="1" applyFont="1" applyFill="1" applyBorder="1"/>
    <xf numFmtId="0" fontId="13" fillId="0" borderId="0" xfId="1681" applyFont="1" applyFill="1" applyAlignment="1">
      <alignment horizontal="center"/>
    </xf>
    <xf numFmtId="41" fontId="9" fillId="0" borderId="16" xfId="1681" applyNumberFormat="1" applyFont="1" applyFill="1" applyBorder="1" applyAlignment="1">
      <alignment vertical="top"/>
    </xf>
    <xf numFmtId="41" fontId="9" fillId="0" borderId="0" xfId="1681" applyNumberFormat="1" applyFont="1" applyFill="1"/>
    <xf numFmtId="0" fontId="8" fillId="0" borderId="0" xfId="1681" applyFont="1" applyFill="1" applyAlignment="1">
      <alignment horizontal="center"/>
    </xf>
    <xf numFmtId="37" fontId="9" fillId="0" borderId="0" xfId="1681" applyNumberFormat="1" applyFont="1" applyFill="1" applyBorder="1"/>
    <xf numFmtId="0" fontId="90" fillId="0" borderId="0" xfId="1681" applyFont="1" applyFill="1"/>
    <xf numFmtId="185" fontId="9" fillId="0" borderId="0" xfId="0" quotePrefix="1" applyNumberFormat="1" applyFont="1" applyFill="1" applyBorder="1" applyAlignment="1">
      <alignment horizontal="center"/>
    </xf>
    <xf numFmtId="0" fontId="9" fillId="0" borderId="0" xfId="1681" applyFont="1" applyFill="1" applyAlignment="1"/>
    <xf numFmtId="0" fontId="10" fillId="0" borderId="0" xfId="1681" applyFont="1" applyFill="1" applyAlignment="1">
      <alignment horizontal="center"/>
    </xf>
    <xf numFmtId="185" fontId="9" fillId="0" borderId="0" xfId="0" applyNumberFormat="1" applyFont="1" applyFill="1" applyBorder="1" applyAlignment="1">
      <alignment horizontal="center"/>
    </xf>
    <xf numFmtId="38" fontId="9" fillId="0" borderId="0" xfId="0" applyNumberFormat="1" applyFont="1" applyFill="1" applyBorder="1" applyAlignment="1">
      <alignment horizontal="left"/>
    </xf>
    <xf numFmtId="175" fontId="10" fillId="0" borderId="0" xfId="1681" applyNumberFormat="1" applyFont="1" applyFill="1" applyAlignment="1">
      <alignment horizontal="center" vertical="center"/>
    </xf>
    <xf numFmtId="43" fontId="86" fillId="30" borderId="0" xfId="381" applyFont="1" applyFill="1" applyBorder="1"/>
    <xf numFmtId="1" fontId="9" fillId="0" borderId="0" xfId="0" applyNumberFormat="1" applyFont="1" applyFill="1" applyAlignment="1">
      <alignment horizontal="left"/>
    </xf>
    <xf numFmtId="43" fontId="86" fillId="30" borderId="0" xfId="381" applyFont="1" applyFill="1" applyBorder="1" applyAlignment="1">
      <alignment horizontal="center"/>
    </xf>
    <xf numFmtId="0" fontId="125" fillId="0" borderId="0" xfId="0" applyFont="1" applyFill="1" applyAlignment="1">
      <alignment horizontal="center"/>
    </xf>
    <xf numFmtId="0" fontId="28" fillId="0" borderId="0" xfId="1681" applyFont="1" applyFill="1" applyAlignment="1">
      <alignment horizontal="left"/>
    </xf>
    <xf numFmtId="0" fontId="7" fillId="0" borderId="0" xfId="1681" applyFont="1" applyFill="1" applyAlignment="1">
      <alignment horizontal="left"/>
    </xf>
    <xf numFmtId="0" fontId="126" fillId="0" borderId="0" xfId="0" applyFont="1" applyFill="1"/>
    <xf numFmtId="0" fontId="91" fillId="0" borderId="0" xfId="1681" applyFont="1" applyFill="1" applyAlignment="1">
      <alignment horizontal="left"/>
    </xf>
    <xf numFmtId="3" fontId="5" fillId="0" borderId="0" xfId="381" applyNumberFormat="1" applyFont="1" applyFill="1" applyAlignment="1"/>
    <xf numFmtId="41" fontId="4" fillId="0" borderId="24" xfId="1689" applyNumberFormat="1" applyFont="1" applyFill="1" applyBorder="1" applyAlignment="1" applyProtection="1">
      <protection locked="0"/>
    </xf>
    <xf numFmtId="43" fontId="9" fillId="30" borderId="0" xfId="381" applyFont="1" applyFill="1" applyBorder="1"/>
    <xf numFmtId="0" fontId="93" fillId="0" borderId="0" xfId="1681" applyFont="1" applyFill="1" applyAlignment="1">
      <alignment horizontal="center"/>
    </xf>
    <xf numFmtId="37" fontId="9" fillId="0" borderId="21" xfId="0" applyNumberFormat="1" applyFont="1" applyFill="1" applyBorder="1"/>
    <xf numFmtId="0" fontId="4" fillId="0" borderId="0" xfId="1689" applyNumberFormat="1" applyFont="1" applyFill="1" applyBorder="1" applyAlignment="1" applyProtection="1">
      <alignment horizontal="centerContinuous"/>
      <protection locked="0"/>
    </xf>
    <xf numFmtId="10" fontId="9" fillId="0" borderId="0" xfId="1724" applyNumberFormat="1" applyFont="1" applyFill="1" applyAlignment="1" applyProtection="1">
      <alignment horizontal="center"/>
      <protection locked="0"/>
    </xf>
    <xf numFmtId="10" fontId="9" fillId="0" borderId="0" xfId="1724" applyNumberFormat="1" applyFont="1" applyFill="1" applyAlignment="1" applyProtection="1">
      <protection locked="0"/>
    </xf>
    <xf numFmtId="10" fontId="10" fillId="0" borderId="0" xfId="1724" applyNumberFormat="1" applyFont="1" applyFill="1" applyAlignment="1" applyProtection="1">
      <protection locked="0"/>
    </xf>
    <xf numFmtId="0" fontId="81" fillId="0" borderId="0" xfId="0" applyFont="1"/>
    <xf numFmtId="0" fontId="5" fillId="0" borderId="0" xfId="1681" applyNumberFormat="1" applyFont="1" applyFill="1" applyAlignment="1">
      <alignment horizontal="center"/>
    </xf>
    <xf numFmtId="0" fontId="4" fillId="0" borderId="0" xfId="1681" applyNumberFormat="1" applyFont="1" applyFill="1" applyAlignment="1">
      <alignment horizontal="center"/>
    </xf>
    <xf numFmtId="0" fontId="4" fillId="0" borderId="0" xfId="1681" applyNumberFormat="1" applyFont="1" applyFill="1" applyAlignment="1">
      <alignment horizontal="left"/>
    </xf>
    <xf numFmtId="0" fontId="19" fillId="0" borderId="0" xfId="1681" applyNumberFormat="1" applyFont="1" applyFill="1" applyAlignment="1">
      <alignment horizontal="left"/>
    </xf>
    <xf numFmtId="0" fontId="86" fillId="30" borderId="0" xfId="381" applyNumberFormat="1" applyFont="1" applyFill="1" applyBorder="1"/>
    <xf numFmtId="0" fontId="6" fillId="0" borderId="0" xfId="1689" applyNumberFormat="1" applyFont="1" applyFill="1" applyBorder="1" applyAlignment="1" applyProtection="1">
      <alignment horizontal="center"/>
      <protection locked="0"/>
    </xf>
    <xf numFmtId="41" fontId="4" fillId="30" borderId="0" xfId="1682" applyNumberFormat="1" applyFont="1" applyFill="1"/>
    <xf numFmtId="41" fontId="4" fillId="0" borderId="0" xfId="1682" applyNumberFormat="1" applyFont="1" applyFill="1"/>
    <xf numFmtId="0" fontId="9" fillId="0" borderId="0" xfId="0" quotePrefix="1" applyFont="1" applyFill="1" applyBorder="1" applyAlignment="1">
      <alignment horizontal="left"/>
    </xf>
    <xf numFmtId="10" fontId="4" fillId="30" borderId="0" xfId="1724" applyNumberFormat="1" applyFont="1" applyFill="1"/>
    <xf numFmtId="0" fontId="9" fillId="0" borderId="0" xfId="1475" applyFont="1" applyFill="1"/>
    <xf numFmtId="0" fontId="4" fillId="0" borderId="0" xfId="589" applyNumberFormat="1" applyFont="1" applyFill="1" applyAlignment="1">
      <alignment horizontal="center"/>
    </xf>
    <xf numFmtId="0" fontId="4" fillId="0" borderId="0" xfId="1475" applyNumberFormat="1" applyFont="1" applyFill="1" applyAlignment="1">
      <alignment horizontal="center"/>
    </xf>
    <xf numFmtId="0" fontId="4" fillId="0" borderId="0" xfId="1475" applyFont="1" applyFill="1" applyAlignment="1"/>
    <xf numFmtId="172" fontId="5" fillId="0" borderId="0" xfId="1689" applyFont="1" applyFill="1" applyAlignment="1">
      <alignment horizontal="center"/>
    </xf>
    <xf numFmtId="0" fontId="5" fillId="0" borderId="0" xfId="1689" quotePrefix="1" applyNumberFormat="1" applyFont="1" applyFill="1" applyAlignment="1" applyProtection="1">
      <alignment horizontal="center"/>
      <protection locked="0"/>
    </xf>
    <xf numFmtId="173" fontId="4" fillId="0" borderId="0" xfId="589" applyNumberFormat="1" applyFont="1" applyFill="1" applyAlignment="1"/>
    <xf numFmtId="172" fontId="26" fillId="0" borderId="0" xfId="1689" applyFont="1" applyFill="1" applyAlignment="1"/>
    <xf numFmtId="0" fontId="4" fillId="0" borderId="0" xfId="1475" applyNumberFormat="1" applyFont="1" applyFill="1"/>
    <xf numFmtId="170" fontId="4" fillId="0" borderId="0" xfId="1689" applyNumberFormat="1" applyFont="1" applyFill="1" applyAlignment="1" applyProtection="1">
      <protection locked="0"/>
    </xf>
    <xf numFmtId="164" fontId="26" fillId="0" borderId="0" xfId="1763" applyNumberFormat="1" applyFont="1" applyFill="1" applyAlignment="1" applyProtection="1">
      <alignment horizontal="center"/>
      <protection locked="0"/>
    </xf>
    <xf numFmtId="173" fontId="4" fillId="0" borderId="0" xfId="589" applyNumberFormat="1" applyFont="1" applyFill="1" applyAlignment="1" applyProtection="1">
      <protection locked="0"/>
    </xf>
    <xf numFmtId="173" fontId="4" fillId="0" borderId="16" xfId="589" applyNumberFormat="1" applyFont="1" applyFill="1" applyBorder="1" applyAlignment="1"/>
    <xf numFmtId="173" fontId="4" fillId="0" borderId="16" xfId="589" applyNumberFormat="1" applyFont="1" applyFill="1" applyBorder="1" applyAlignment="1" applyProtection="1">
      <protection locked="0"/>
    </xf>
    <xf numFmtId="0" fontId="4" fillId="0" borderId="0" xfId="1475" applyNumberFormat="1" applyFont="1" applyFill="1" applyAlignment="1">
      <alignment horizontal="right"/>
    </xf>
    <xf numFmtId="173" fontId="4" fillId="0" borderId="0" xfId="589" applyNumberFormat="1" applyFont="1" applyFill="1" applyBorder="1" applyAlignment="1"/>
    <xf numFmtId="173" fontId="4" fillId="0" borderId="0" xfId="589" applyNumberFormat="1" applyFont="1" applyFill="1" applyBorder="1" applyAlignment="1" applyProtection="1">
      <protection locked="0"/>
    </xf>
    <xf numFmtId="0" fontId="4" fillId="0" borderId="44" xfId="1689" applyNumberFormat="1" applyFont="1" applyFill="1" applyBorder="1" applyAlignment="1" applyProtection="1">
      <alignment horizontal="center"/>
      <protection locked="0"/>
    </xf>
    <xf numFmtId="0" fontId="5" fillId="0" borderId="44" xfId="1689" applyNumberFormat="1" applyFont="1" applyFill="1" applyBorder="1" applyProtection="1">
      <protection locked="0"/>
    </xf>
    <xf numFmtId="172" fontId="5" fillId="0" borderId="44" xfId="1689" applyFont="1" applyFill="1" applyBorder="1" applyAlignment="1"/>
    <xf numFmtId="172" fontId="5" fillId="0" borderId="44" xfId="1689" applyFont="1" applyFill="1" applyBorder="1" applyAlignment="1" applyProtection="1">
      <protection locked="0"/>
    </xf>
    <xf numFmtId="173" fontId="5" fillId="0" borderId="44" xfId="589" applyNumberFormat="1" applyFont="1" applyFill="1" applyBorder="1" applyAlignment="1"/>
    <xf numFmtId="173" fontId="5" fillId="0" borderId="44" xfId="589" applyNumberFormat="1" applyFont="1" applyFill="1" applyBorder="1" applyAlignment="1" applyProtection="1">
      <protection locked="0"/>
    </xf>
    <xf numFmtId="173" fontId="5" fillId="0" borderId="45" xfId="589" applyNumberFormat="1" applyFont="1" applyFill="1" applyBorder="1" applyAlignment="1" applyProtection="1">
      <protection locked="0"/>
    </xf>
    <xf numFmtId="172" fontId="5" fillId="0" borderId="0" xfId="1689" applyFont="1" applyFill="1" applyBorder="1" applyAlignment="1" applyProtection="1">
      <protection locked="0"/>
    </xf>
    <xf numFmtId="0" fontId="5" fillId="0" borderId="0" xfId="1475" applyNumberFormat="1" applyFont="1" applyFill="1" applyBorder="1"/>
    <xf numFmtId="173" fontId="5" fillId="0" borderId="0" xfId="589" applyNumberFormat="1" applyFont="1" applyFill="1" applyBorder="1" applyAlignment="1"/>
    <xf numFmtId="173" fontId="5" fillId="0" borderId="0" xfId="589" applyNumberFormat="1" applyFont="1" applyFill="1" applyBorder="1" applyAlignment="1" applyProtection="1">
      <protection locked="0"/>
    </xf>
    <xf numFmtId="0" fontId="5" fillId="0" borderId="0" xfId="1475" applyNumberFormat="1" applyFont="1" applyFill="1"/>
    <xf numFmtId="43" fontId="5" fillId="0" borderId="0" xfId="589" applyNumberFormat="1" applyFont="1" applyFill="1" applyBorder="1" applyAlignment="1"/>
    <xf numFmtId="174" fontId="4" fillId="0" borderId="0" xfId="1102" applyNumberFormat="1" applyFont="1" applyFill="1"/>
    <xf numFmtId="174" fontId="4" fillId="0" borderId="0" xfId="1689" applyNumberFormat="1" applyFont="1" applyFill="1"/>
    <xf numFmtId="43" fontId="4" fillId="0" borderId="0" xfId="1689" applyNumberFormat="1" applyFont="1" applyFill="1"/>
    <xf numFmtId="3" fontId="4" fillId="0" borderId="0" xfId="1475" applyNumberFormat="1" applyFont="1" applyFill="1" applyAlignment="1">
      <alignment horizontal="center"/>
    </xf>
    <xf numFmtId="170" fontId="4" fillId="0" borderId="0" xfId="1689" applyNumberFormat="1" applyFont="1" applyFill="1" applyBorder="1" applyAlignment="1" applyProtection="1">
      <protection locked="0"/>
    </xf>
    <xf numFmtId="170" fontId="4" fillId="0" borderId="16" xfId="1689" applyNumberFormat="1" applyFont="1" applyFill="1" applyBorder="1" applyAlignment="1" applyProtection="1">
      <protection locked="0"/>
    </xf>
    <xf numFmtId="0" fontId="4" fillId="0" borderId="0" xfId="1475" quotePrefix="1" applyNumberFormat="1" applyFont="1" applyFill="1" applyAlignment="1">
      <alignment horizontal="left"/>
    </xf>
    <xf numFmtId="173" fontId="75" fillId="0" borderId="0" xfId="589" applyNumberFormat="1" applyFont="1" applyFill="1" applyAlignment="1"/>
    <xf numFmtId="0" fontId="4" fillId="0" borderId="44" xfId="1475" applyNumberFormat="1" applyFont="1" applyFill="1" applyBorder="1"/>
    <xf numFmtId="1" fontId="4" fillId="0" borderId="44" xfId="1689" applyNumberFormat="1" applyFont="1" applyFill="1" applyBorder="1" applyAlignment="1" applyProtection="1">
      <alignment horizontal="center"/>
      <protection locked="0"/>
    </xf>
    <xf numFmtId="170" fontId="4" fillId="0" borderId="44" xfId="1689" applyNumberFormat="1" applyFont="1" applyFill="1" applyBorder="1" applyAlignment="1" applyProtection="1">
      <protection locked="0"/>
    </xf>
    <xf numFmtId="0" fontId="4" fillId="0" borderId="44" xfId="1689" applyNumberFormat="1" applyFont="1" applyFill="1" applyBorder="1" applyProtection="1">
      <protection locked="0"/>
    </xf>
    <xf numFmtId="0" fontId="9" fillId="0" borderId="44" xfId="1475" applyFont="1" applyFill="1" applyBorder="1"/>
    <xf numFmtId="170" fontId="4" fillId="0" borderId="45" xfId="1689" applyNumberFormat="1" applyFont="1" applyFill="1" applyBorder="1" applyAlignment="1" applyProtection="1">
      <protection locked="0"/>
    </xf>
    <xf numFmtId="43" fontId="4" fillId="0" borderId="0" xfId="589" applyFont="1" applyFill="1" applyAlignment="1"/>
    <xf numFmtId="0" fontId="75" fillId="0" borderId="0" xfId="1689" applyNumberFormat="1" applyFont="1" applyFill="1" applyProtection="1">
      <protection locked="0"/>
    </xf>
    <xf numFmtId="0" fontId="75" fillId="0" borderId="0" xfId="1475" applyNumberFormat="1" applyFont="1" applyFill="1"/>
    <xf numFmtId="172" fontId="75" fillId="0" borderId="0" xfId="1689" applyFont="1" applyFill="1" applyAlignment="1"/>
    <xf numFmtId="0" fontId="2" fillId="0" borderId="0" xfId="1475" applyFont="1" applyFill="1"/>
    <xf numFmtId="173" fontId="9" fillId="0" borderId="0" xfId="589" applyNumberFormat="1" applyFont="1" applyFill="1"/>
    <xf numFmtId="1" fontId="18" fillId="0" borderId="0" xfId="1475" quotePrefix="1" applyNumberFormat="1" applyFont="1" applyFill="1" applyAlignment="1">
      <alignment horizontal="center"/>
    </xf>
    <xf numFmtId="1" fontId="17" fillId="0" borderId="0" xfId="1475" applyNumberFormat="1" applyFont="1" applyFill="1" applyBorder="1"/>
    <xf numFmtId="1" fontId="17" fillId="0" borderId="0" xfId="1475" applyNumberFormat="1" applyFont="1" applyFill="1"/>
    <xf numFmtId="1" fontId="18" fillId="0" borderId="22" xfId="589" applyNumberFormat="1" applyFont="1" applyFill="1" applyBorder="1"/>
    <xf numFmtId="1" fontId="9" fillId="0" borderId="0" xfId="1475" applyNumberFormat="1" applyFill="1"/>
    <xf numFmtId="1" fontId="6" fillId="0" borderId="0" xfId="1475" applyNumberFormat="1" applyFont="1" applyFill="1" applyAlignment="1">
      <alignment horizontal="centerContinuous"/>
    </xf>
    <xf numFmtId="1" fontId="9" fillId="0" borderId="0" xfId="1475" applyNumberFormat="1" applyFill="1" applyAlignment="1">
      <alignment horizontal="center"/>
    </xf>
    <xf numFmtId="1" fontId="6" fillId="0" borderId="0" xfId="1475" quotePrefix="1" applyNumberFormat="1" applyFont="1" applyFill="1" applyAlignment="1">
      <alignment horizontal="centerContinuous"/>
    </xf>
    <xf numFmtId="1" fontId="9" fillId="0" borderId="0" xfId="1475" applyNumberFormat="1" applyFont="1" applyFill="1" applyAlignment="1">
      <alignment horizontal="centerContinuous"/>
    </xf>
    <xf numFmtId="1" fontId="3" fillId="0" borderId="0" xfId="1475" applyNumberFormat="1" applyFont="1" applyFill="1" applyAlignment="1">
      <alignment horizontal="centerContinuous"/>
    </xf>
    <xf numFmtId="1" fontId="18" fillId="0" borderId="0" xfId="1475" applyNumberFormat="1" applyFont="1" applyFill="1" applyAlignment="1">
      <alignment horizontal="centerContinuous"/>
    </xf>
    <xf numFmtId="1" fontId="17" fillId="0" borderId="0" xfId="1475" applyNumberFormat="1" applyFont="1" applyFill="1" applyAlignment="1">
      <alignment horizontal="left"/>
    </xf>
    <xf numFmtId="1" fontId="18" fillId="0" borderId="0" xfId="1640" applyNumberFormat="1" applyFont="1" applyFill="1" applyAlignment="1">
      <alignment horizontal="center" wrapText="1"/>
    </xf>
    <xf numFmtId="1" fontId="18" fillId="0" borderId="0" xfId="1475" applyNumberFormat="1" applyFont="1" applyFill="1" applyAlignment="1">
      <alignment horizontal="right"/>
    </xf>
    <xf numFmtId="194" fontId="18" fillId="0" borderId="0" xfId="1640" applyNumberFormat="1" applyFont="1" applyFill="1" applyAlignment="1">
      <alignment horizontal="center" wrapText="1"/>
    </xf>
    <xf numFmtId="1" fontId="18" fillId="0" borderId="0" xfId="1475" applyNumberFormat="1" applyFont="1" applyFill="1" applyAlignment="1">
      <alignment horizontal="center"/>
    </xf>
    <xf numFmtId="1" fontId="17" fillId="0" borderId="0" xfId="1475" applyNumberFormat="1" applyFont="1" applyFill="1" applyAlignment="1">
      <alignment horizontal="center"/>
    </xf>
    <xf numFmtId="1" fontId="18" fillId="0" borderId="0" xfId="1640" quotePrefix="1" applyNumberFormat="1" applyFont="1" applyFill="1" applyAlignment="1">
      <alignment horizontal="center"/>
    </xf>
    <xf numFmtId="1" fontId="18" fillId="0" borderId="11" xfId="1475" applyNumberFormat="1" applyFont="1" applyFill="1" applyBorder="1"/>
    <xf numFmtId="1" fontId="17" fillId="0" borderId="11" xfId="1475" applyNumberFormat="1" applyFont="1" applyFill="1" applyBorder="1"/>
    <xf numFmtId="1" fontId="122" fillId="0" borderId="0" xfId="1475" applyNumberFormat="1" applyFont="1" applyFill="1"/>
    <xf numFmtId="193" fontId="17" fillId="0" borderId="0" xfId="1475" applyNumberFormat="1" applyFont="1" applyFill="1"/>
    <xf numFmtId="1" fontId="18" fillId="0" borderId="0" xfId="1475" applyNumberFormat="1" applyFont="1" applyFill="1"/>
    <xf numFmtId="1" fontId="9" fillId="0" borderId="0" xfId="1475" applyNumberFormat="1" applyFill="1" applyBorder="1"/>
    <xf numFmtId="1" fontId="17" fillId="0" borderId="0" xfId="589" applyNumberFormat="1" applyFont="1" applyFill="1"/>
    <xf numFmtId="1" fontId="9" fillId="0" borderId="0" xfId="1475" applyNumberFormat="1" applyFill="1" applyBorder="1" applyAlignment="1">
      <alignment horizontal="center"/>
    </xf>
    <xf numFmtId="1" fontId="18" fillId="0" borderId="16" xfId="1475" applyNumberFormat="1" applyFont="1" applyFill="1" applyBorder="1" applyAlignment="1">
      <alignment horizontal="centerContinuous"/>
    </xf>
    <xf numFmtId="1" fontId="17" fillId="0" borderId="16" xfId="1475" applyNumberFormat="1" applyFont="1" applyFill="1" applyBorder="1" applyAlignment="1">
      <alignment horizontal="centerContinuous"/>
    </xf>
    <xf numFmtId="1" fontId="17" fillId="0" borderId="0" xfId="1475" quotePrefix="1" applyNumberFormat="1" applyFont="1" applyFill="1" applyAlignment="1">
      <alignment horizontal="left"/>
    </xf>
    <xf numFmtId="1" fontId="9" fillId="0" borderId="0" xfId="1475" applyNumberFormat="1" applyFill="1" applyAlignment="1">
      <alignment horizontal="right"/>
    </xf>
    <xf numFmtId="1" fontId="9" fillId="0" borderId="0" xfId="1475" applyNumberFormat="1" applyFont="1" applyFill="1"/>
    <xf numFmtId="1" fontId="6" fillId="0" borderId="0" xfId="1475" applyNumberFormat="1" applyFont="1" applyFill="1"/>
    <xf numFmtId="1" fontId="6" fillId="0" borderId="11" xfId="1475" applyNumberFormat="1" applyFont="1" applyFill="1" applyBorder="1"/>
    <xf numFmtId="1" fontId="9" fillId="0" borderId="11" xfId="1475" applyNumberFormat="1" applyFill="1" applyBorder="1"/>
    <xf numFmtId="1" fontId="17" fillId="0" borderId="22" xfId="1475" applyNumberFormat="1" applyFont="1" applyFill="1" applyBorder="1"/>
    <xf numFmtId="1" fontId="18" fillId="0" borderId="0" xfId="1475" applyNumberFormat="1" applyFont="1" applyFill="1" applyAlignment="1">
      <alignment horizontal="left"/>
    </xf>
    <xf numFmtId="1" fontId="18" fillId="0" borderId="0" xfId="1475" applyNumberFormat="1" applyFont="1" applyFill="1" applyBorder="1"/>
    <xf numFmtId="1" fontId="9" fillId="0" borderId="0" xfId="1475" applyNumberFormat="1" applyFont="1" applyFill="1" applyAlignment="1">
      <alignment horizontal="right"/>
    </xf>
    <xf numFmtId="0" fontId="6" fillId="0" borderId="0" xfId="1682" applyFont="1" applyFill="1" applyBorder="1"/>
    <xf numFmtId="3" fontId="3" fillId="0" borderId="0" xfId="0" applyNumberFormat="1" applyFont="1" applyFill="1" applyAlignment="1"/>
    <xf numFmtId="176" fontId="17" fillId="0" borderId="0" xfId="663" applyNumberFormat="1" applyFont="1" applyFill="1"/>
    <xf numFmtId="187" fontId="9" fillId="0" borderId="0" xfId="1795" applyNumberFormat="1" applyFont="1" applyFill="1" applyAlignment="1">
      <alignment horizontal="center"/>
    </xf>
    <xf numFmtId="176" fontId="17" fillId="0" borderId="16" xfId="663" applyNumberFormat="1" applyFont="1" applyFill="1" applyBorder="1"/>
    <xf numFmtId="173" fontId="9" fillId="0" borderId="0" xfId="663" applyNumberFormat="1" applyFont="1" applyFill="1" applyProtection="1">
      <protection locked="0"/>
    </xf>
    <xf numFmtId="173" fontId="9" fillId="0" borderId="0" xfId="663" applyNumberFormat="1" applyFont="1" applyFill="1"/>
    <xf numFmtId="173" fontId="88" fillId="30" borderId="0" xfId="663" applyNumberFormat="1" applyFont="1" applyFill="1" applyBorder="1"/>
    <xf numFmtId="0" fontId="86" fillId="30" borderId="0" xfId="663" applyNumberFormat="1" applyFont="1" applyFill="1" applyBorder="1" applyAlignment="1">
      <alignment horizontal="left"/>
    </xf>
    <xf numFmtId="43" fontId="86" fillId="30" borderId="0" xfId="663" applyFont="1" applyFill="1" applyBorder="1"/>
    <xf numFmtId="3" fontId="16" fillId="30" borderId="0" xfId="0" quotePrefix="1" applyNumberFormat="1" applyFont="1" applyFill="1" applyAlignment="1">
      <alignment horizontal="left" vertical="center"/>
    </xf>
    <xf numFmtId="43" fontId="16" fillId="30" borderId="0" xfId="663" applyFont="1" applyFill="1" applyBorder="1"/>
    <xf numFmtId="173" fontId="16" fillId="30" borderId="0" xfId="663" applyNumberFormat="1" applyFont="1" applyFill="1" applyBorder="1"/>
    <xf numFmtId="3" fontId="16" fillId="30" borderId="0" xfId="0" quotePrefix="1" applyNumberFormat="1" applyFont="1" applyFill="1" applyAlignment="1">
      <alignment horizontal="left" vertical="center" wrapText="1"/>
    </xf>
    <xf numFmtId="0" fontId="86" fillId="30" borderId="0" xfId="663" applyNumberFormat="1" applyFont="1" applyFill="1" applyBorder="1"/>
    <xf numFmtId="173" fontId="16" fillId="30" borderId="0" xfId="381" applyNumberFormat="1" applyFont="1" applyFill="1" applyBorder="1"/>
    <xf numFmtId="173" fontId="9" fillId="0" borderId="0" xfId="1692" applyNumberFormat="1" applyFont="1" applyFill="1"/>
    <xf numFmtId="173" fontId="16" fillId="30" borderId="0" xfId="589" applyNumberFormat="1" applyFont="1" applyFill="1" applyBorder="1"/>
    <xf numFmtId="173" fontId="9" fillId="0" borderId="0" xfId="1682" applyNumberFormat="1" applyFont="1" applyFill="1"/>
    <xf numFmtId="43" fontId="86" fillId="30" borderId="0" xfId="589" applyFont="1" applyFill="1" applyBorder="1"/>
    <xf numFmtId="43" fontId="9" fillId="0" borderId="0" xfId="589" applyFont="1" applyFill="1" applyBorder="1"/>
    <xf numFmtId="43" fontId="86" fillId="30" borderId="0" xfId="589" applyFont="1" applyFill="1" applyBorder="1" applyAlignment="1">
      <alignment horizontal="left"/>
    </xf>
    <xf numFmtId="173" fontId="86" fillId="30" borderId="0" xfId="589" applyNumberFormat="1" applyFont="1" applyFill="1" applyBorder="1"/>
    <xf numFmtId="43" fontId="86" fillId="30" borderId="0" xfId="589" applyFont="1" applyFill="1" applyBorder="1" applyAlignment="1">
      <alignment horizontal="center"/>
    </xf>
    <xf numFmtId="37" fontId="9" fillId="0" borderId="0" xfId="589" applyNumberFormat="1" applyFont="1" applyFill="1"/>
    <xf numFmtId="0" fontId="86" fillId="30" borderId="0" xfId="0" applyFont="1" applyFill="1" applyBorder="1"/>
    <xf numFmtId="0" fontId="86" fillId="0" borderId="0" xfId="0" applyFont="1" applyFill="1" applyBorder="1"/>
    <xf numFmtId="37" fontId="86" fillId="30" borderId="0" xfId="0" applyNumberFormat="1" applyFont="1" applyFill="1" applyAlignment="1">
      <alignment horizontal="center"/>
    </xf>
    <xf numFmtId="3" fontId="86" fillId="30" borderId="0" xfId="0" applyNumberFormat="1" applyFont="1" applyFill="1"/>
    <xf numFmtId="37" fontId="86" fillId="30" borderId="0" xfId="0" applyNumberFormat="1" applyFont="1" applyFill="1"/>
    <xf numFmtId="37" fontId="101" fillId="0" borderId="0" xfId="663" applyNumberFormat="1"/>
    <xf numFmtId="37" fontId="9" fillId="0" borderId="0" xfId="1519" applyNumberFormat="1" applyFont="1" applyBorder="1"/>
    <xf numFmtId="37" fontId="101" fillId="0" borderId="0" xfId="663" applyNumberFormat="1" applyFill="1"/>
    <xf numFmtId="37" fontId="9" fillId="0" borderId="0" xfId="663" applyNumberFormat="1" applyFont="1" applyFill="1"/>
    <xf numFmtId="37" fontId="101" fillId="0" borderId="0" xfId="663" applyNumberFormat="1" applyFont="1" applyFill="1"/>
    <xf numFmtId="49" fontId="86" fillId="30" borderId="0" xfId="0" applyNumberFormat="1" applyFont="1" applyFill="1"/>
    <xf numFmtId="0" fontId="86" fillId="30" borderId="0" xfId="0" applyFont="1" applyFill="1"/>
    <xf numFmtId="49" fontId="86" fillId="0" borderId="0" xfId="0" applyNumberFormat="1" applyFont="1" applyFill="1"/>
    <xf numFmtId="3" fontId="86" fillId="0" borderId="0" xfId="0" applyNumberFormat="1" applyFont="1" applyFill="1"/>
    <xf numFmtId="37" fontId="86" fillId="0" borderId="0" xfId="0" applyNumberFormat="1" applyFont="1" applyFill="1"/>
    <xf numFmtId="3" fontId="85" fillId="0" borderId="0" xfId="0" applyNumberFormat="1" applyFont="1" applyFill="1"/>
    <xf numFmtId="173" fontId="85" fillId="0" borderId="0" xfId="589" applyNumberFormat="1" applyFont="1" applyFill="1"/>
    <xf numFmtId="37" fontId="85" fillId="0" borderId="0" xfId="589" applyNumberFormat="1" applyFont="1" applyFill="1"/>
    <xf numFmtId="37" fontId="85" fillId="0" borderId="0" xfId="1519" applyNumberFormat="1" applyFont="1" applyFill="1" applyBorder="1"/>
    <xf numFmtId="43" fontId="101" fillId="0" borderId="0" xfId="663" applyBorder="1"/>
    <xf numFmtId="37" fontId="101" fillId="0" borderId="0" xfId="663" applyNumberFormat="1" applyFill="1" applyBorder="1"/>
    <xf numFmtId="0" fontId="0" fillId="0" borderId="0" xfId="0" applyFill="1"/>
    <xf numFmtId="0" fontId="86" fillId="30" borderId="0" xfId="0" applyFont="1" applyFill="1" applyAlignment="1">
      <alignment horizontal="left"/>
    </xf>
    <xf numFmtId="37" fontId="86" fillId="30" borderId="0" xfId="663" applyNumberFormat="1" applyFont="1" applyFill="1"/>
    <xf numFmtId="43" fontId="86" fillId="30" borderId="0" xfId="0" applyNumberFormat="1" applyFont="1" applyFill="1" applyBorder="1"/>
    <xf numFmtId="173" fontId="86" fillId="30" borderId="0" xfId="0" applyNumberFormat="1" applyFont="1" applyFill="1" applyBorder="1"/>
    <xf numFmtId="37" fontId="86" fillId="30" borderId="0" xfId="0" applyNumberFormat="1" applyFont="1" applyFill="1" applyBorder="1" applyAlignment="1">
      <alignment horizontal="center"/>
    </xf>
    <xf numFmtId="37" fontId="86" fillId="0" borderId="0" xfId="590" applyNumberFormat="1" applyFont="1" applyFill="1"/>
    <xf numFmtId="0" fontId="9" fillId="0" borderId="0" xfId="1519" applyFont="1" applyBorder="1"/>
    <xf numFmtId="197" fontId="116" fillId="30" borderId="0" xfId="0" applyNumberFormat="1" applyFont="1" applyFill="1" applyAlignment="1">
      <alignment horizontal="left" wrapText="1"/>
    </xf>
    <xf numFmtId="3" fontId="16" fillId="30" borderId="0" xfId="0" quotePrefix="1" applyNumberFormat="1" applyFont="1" applyFill="1" applyAlignment="1">
      <alignment horizontal="center" vertical="top"/>
    </xf>
    <xf numFmtId="3" fontId="16" fillId="30" borderId="0" xfId="0" quotePrefix="1" applyNumberFormat="1" applyFont="1" applyFill="1" applyAlignment="1">
      <alignment horizontal="left" vertical="top"/>
    </xf>
    <xf numFmtId="37" fontId="16" fillId="30" borderId="0" xfId="0" quotePrefix="1" applyNumberFormat="1" applyFont="1" applyFill="1" applyAlignment="1">
      <alignment horizontal="right" vertical="top"/>
    </xf>
    <xf numFmtId="3" fontId="16" fillId="30" borderId="0" xfId="0" quotePrefix="1" applyNumberFormat="1" applyFont="1" applyFill="1" applyAlignment="1">
      <alignment horizontal="left" vertical="top" wrapText="1"/>
    </xf>
    <xf numFmtId="3" fontId="16" fillId="30" borderId="0" xfId="0" quotePrefix="1" applyNumberFormat="1" applyFont="1" applyFill="1" applyAlignment="1">
      <alignment horizontal="right" vertical="top"/>
    </xf>
    <xf numFmtId="0" fontId="89" fillId="30" borderId="0" xfId="663" applyNumberFormat="1" applyFont="1" applyFill="1" applyBorder="1"/>
    <xf numFmtId="43" fontId="89" fillId="30" borderId="0" xfId="663" applyFont="1" applyFill="1" applyBorder="1"/>
    <xf numFmtId="0" fontId="89" fillId="30" borderId="0" xfId="663" applyNumberFormat="1" applyFont="1" applyFill="1" applyBorder="1" applyAlignment="1">
      <alignment horizontal="left"/>
    </xf>
    <xf numFmtId="0" fontId="122" fillId="0" borderId="0" xfId="1519" applyFont="1" applyFill="1" applyBorder="1"/>
    <xf numFmtId="0" fontId="3" fillId="0" borderId="0" xfId="1692" applyFont="1" applyFill="1"/>
    <xf numFmtId="0" fontId="117" fillId="0" borderId="0" xfId="1692" applyFont="1" applyFill="1"/>
    <xf numFmtId="0" fontId="118" fillId="0" borderId="0" xfId="1692" applyFont="1" applyFill="1" applyAlignment="1">
      <alignment vertical="top"/>
    </xf>
    <xf numFmtId="0" fontId="119" fillId="0" borderId="0" xfId="1692" applyFont="1" applyFill="1" applyAlignment="1">
      <alignment vertical="top"/>
    </xf>
    <xf numFmtId="43" fontId="119" fillId="0" borderId="0" xfId="1072" applyFont="1" applyFill="1" applyAlignment="1">
      <alignment vertical="top"/>
    </xf>
    <xf numFmtId="0" fontId="118" fillId="0" borderId="0" xfId="1692" applyFont="1" applyFill="1"/>
    <xf numFmtId="0" fontId="119" fillId="0" borderId="0" xfId="1692" applyFont="1" applyFill="1"/>
    <xf numFmtId="43" fontId="119" fillId="0" borderId="0" xfId="1072" applyFont="1" applyFill="1"/>
    <xf numFmtId="0" fontId="3" fillId="0" borderId="0" xfId="1692" applyFont="1" applyFill="1" applyAlignment="1">
      <alignment horizontal="right"/>
    </xf>
    <xf numFmtId="0" fontId="123" fillId="0" borderId="0" xfId="1690" applyNumberFormat="1" applyFont="1" applyFill="1"/>
    <xf numFmtId="173" fontId="122" fillId="0" borderId="2" xfId="1519" applyNumberFormat="1" applyFont="1" applyFill="1" applyBorder="1"/>
    <xf numFmtId="173" fontId="122" fillId="0" borderId="0" xfId="1071" applyNumberFormat="1" applyFont="1" applyFill="1"/>
    <xf numFmtId="0" fontId="122" fillId="0" borderId="0" xfId="1426" applyFont="1" applyFill="1"/>
    <xf numFmtId="0" fontId="139" fillId="0" borderId="0" xfId="1681" applyFont="1" applyFill="1" applyAlignment="1">
      <alignment horizontal="center"/>
    </xf>
    <xf numFmtId="41" fontId="139" fillId="0" borderId="0" xfId="1681" applyNumberFormat="1" applyFont="1" applyFill="1"/>
    <xf numFmtId="0" fontId="15" fillId="0" borderId="0" xfId="1519" applyFont="1" applyFill="1" applyBorder="1" applyAlignment="1">
      <alignment horizontal="center"/>
    </xf>
    <xf numFmtId="0" fontId="10" fillId="0" borderId="0" xfId="0" applyFont="1" applyFill="1" applyAlignment="1"/>
    <xf numFmtId="0" fontId="4" fillId="31" borderId="0" xfId="381" applyNumberFormat="1" applyFont="1" applyFill="1" applyAlignment="1"/>
    <xf numFmtId="43" fontId="4" fillId="0" borderId="0" xfId="1689" applyNumberFormat="1" applyFont="1" applyFill="1" applyBorder="1" applyAlignment="1" applyProtection="1">
      <alignment horizontal="center"/>
      <protection locked="0"/>
    </xf>
    <xf numFmtId="42" fontId="4" fillId="0" borderId="0" xfId="1689" applyNumberFormat="1" applyFont="1" applyFill="1" applyBorder="1" applyAlignment="1" applyProtection="1">
      <protection locked="0"/>
    </xf>
    <xf numFmtId="0" fontId="4" fillId="0" borderId="0" xfId="1689" applyNumberFormat="1" applyFont="1" applyFill="1" applyAlignment="1" applyProtection="1">
      <alignment horizontal="left" wrapText="1"/>
      <protection locked="0"/>
    </xf>
    <xf numFmtId="0" fontId="4" fillId="0" borderId="0" xfId="0" applyFont="1" applyFill="1" applyAlignment="1">
      <alignment horizontal="left"/>
    </xf>
    <xf numFmtId="3" fontId="4" fillId="0" borderId="0" xfId="1689" applyNumberFormat="1" applyFont="1" applyFill="1" applyBorder="1" applyAlignment="1" applyProtection="1">
      <alignment horizontal="left"/>
      <protection locked="0"/>
    </xf>
    <xf numFmtId="0" fontId="75" fillId="0" borderId="11" xfId="1689" applyNumberFormat="1" applyFont="1" applyFill="1" applyBorder="1" applyAlignment="1" applyProtection="1">
      <alignment horizontal="center"/>
      <protection locked="0"/>
    </xf>
    <xf numFmtId="169" fontId="4" fillId="0" borderId="0" xfId="1689" applyNumberFormat="1" applyFont="1" applyFill="1" applyBorder="1" applyAlignment="1" applyProtection="1">
      <protection locked="0"/>
    </xf>
    <xf numFmtId="169" fontId="4" fillId="0" borderId="11" xfId="1689" applyNumberFormat="1" applyFont="1" applyFill="1" applyBorder="1" applyAlignment="1" applyProtection="1">
      <protection locked="0"/>
    </xf>
    <xf numFmtId="190" fontId="14" fillId="0" borderId="0" xfId="1519" applyNumberFormat="1" applyFont="1" applyFill="1" applyBorder="1" applyAlignment="1">
      <alignment horizontal="center"/>
    </xf>
    <xf numFmtId="0" fontId="9" fillId="0" borderId="2" xfId="1519" applyFont="1" applyFill="1" applyBorder="1"/>
    <xf numFmtId="10" fontId="12" fillId="0" borderId="0" xfId="1763" applyNumberFormat="1" applyFont="1" applyFill="1" applyAlignment="1">
      <alignment horizontal="center"/>
    </xf>
    <xf numFmtId="0" fontId="51" fillId="0" borderId="16" xfId="0" applyFont="1" applyBorder="1" applyAlignment="1">
      <alignment horizontal="center"/>
    </xf>
    <xf numFmtId="0" fontId="51" fillId="0" borderId="16" xfId="0" applyFont="1" applyBorder="1"/>
    <xf numFmtId="0" fontId="51" fillId="0" borderId="16" xfId="1519" applyFont="1" applyFill="1" applyBorder="1"/>
    <xf numFmtId="173" fontId="51" fillId="0" borderId="16" xfId="590" applyNumberFormat="1" applyFont="1" applyFill="1" applyBorder="1" applyAlignment="1">
      <alignment horizontal="center"/>
    </xf>
    <xf numFmtId="0" fontId="51" fillId="0" borderId="0" xfId="1519" applyFont="1" applyAlignment="1">
      <alignment horizontal="center"/>
    </xf>
    <xf numFmtId="0" fontId="28" fillId="0" borderId="0" xfId="1519" applyFont="1" applyAlignment="1"/>
    <xf numFmtId="0" fontId="51" fillId="0" borderId="0" xfId="1519" applyFont="1"/>
    <xf numFmtId="0" fontId="51" fillId="0" borderId="0" xfId="0" applyNumberFormat="1" applyFont="1" applyAlignment="1">
      <alignment horizontal="center"/>
    </xf>
    <xf numFmtId="0" fontId="51" fillId="0" borderId="0" xfId="1680" applyNumberFormat="1" applyFont="1" applyAlignment="1"/>
    <xf numFmtId="0" fontId="51" fillId="0" borderId="0" xfId="0" applyFont="1" applyAlignment="1"/>
    <xf numFmtId="0" fontId="51" fillId="0" borderId="0" xfId="0" applyFont="1" applyAlignment="1">
      <alignment vertical="top"/>
    </xf>
    <xf numFmtId="0" fontId="51" fillId="0" borderId="0" xfId="0" applyFont="1" applyFill="1" applyAlignment="1"/>
    <xf numFmtId="0" fontId="51" fillId="0" borderId="0" xfId="0" applyFont="1" applyFill="1" applyAlignment="1">
      <alignment vertical="top"/>
    </xf>
    <xf numFmtId="0" fontId="130" fillId="0" borderId="0" xfId="0" applyFont="1" applyFill="1" applyAlignment="1"/>
    <xf numFmtId="0" fontId="51" fillId="0" borderId="0" xfId="0" applyFont="1"/>
    <xf numFmtId="0" fontId="15" fillId="0" borderId="0" xfId="0" applyFont="1" applyFill="1" applyAlignment="1">
      <alignment wrapText="1"/>
    </xf>
    <xf numFmtId="0" fontId="15" fillId="0" borderId="0" xfId="1519" applyFont="1" applyFill="1" applyBorder="1" applyAlignment="1"/>
    <xf numFmtId="0" fontId="3" fillId="0" borderId="0" xfId="0" applyFont="1" applyFill="1" applyAlignment="1"/>
    <xf numFmtId="3" fontId="9" fillId="0" borderId="0" xfId="1538" applyFont="1" applyFill="1" applyBorder="1"/>
    <xf numFmtId="3" fontId="9" fillId="0" borderId="0" xfId="1538" applyFont="1" applyFill="1" applyBorder="1" applyAlignment="1">
      <alignment wrapText="1"/>
    </xf>
    <xf numFmtId="3" fontId="9" fillId="0" borderId="0" xfId="1538" applyFont="1" applyFill="1" applyBorder="1" applyAlignment="1">
      <alignment horizontal="left" wrapText="1"/>
    </xf>
    <xf numFmtId="3" fontId="10" fillId="0" borderId="0" xfId="1538" applyFont="1" applyFill="1" applyBorder="1" applyAlignment="1">
      <alignment horizontal="left"/>
    </xf>
    <xf numFmtId="3" fontId="9" fillId="0" borderId="16" xfId="1538" applyFont="1" applyFill="1" applyBorder="1" applyAlignment="1">
      <alignment horizontal="center" wrapText="1"/>
    </xf>
    <xf numFmtId="3" fontId="9" fillId="0" borderId="0" xfId="1538" applyFont="1" applyFill="1" applyBorder="1" applyAlignment="1">
      <alignment horizontal="center"/>
    </xf>
    <xf numFmtId="3" fontId="9" fillId="0" borderId="0" xfId="1538" applyFont="1" applyFill="1" applyBorder="1" applyAlignment="1">
      <alignment horizontal="left"/>
    </xf>
    <xf numFmtId="3" fontId="9" fillId="0" borderId="2" xfId="1538" applyFont="1" applyFill="1" applyBorder="1" applyAlignment="1">
      <alignment horizontal="right" wrapText="1"/>
    </xf>
    <xf numFmtId="3" fontId="9" fillId="0" borderId="0" xfId="1538" applyFont="1" applyFill="1" applyBorder="1" applyAlignment="1">
      <alignment horizontal="right" wrapText="1"/>
    </xf>
    <xf numFmtId="3" fontId="131" fillId="0" borderId="0" xfId="1538" applyFont="1" applyFill="1" applyBorder="1" applyAlignment="1">
      <alignment horizontal="center" vertical="top" wrapText="1"/>
    </xf>
    <xf numFmtId="3" fontId="132" fillId="0" borderId="0" xfId="1538" applyFont="1" applyFill="1" applyBorder="1" applyAlignment="1">
      <alignment horizontal="center" wrapText="1"/>
    </xf>
    <xf numFmtId="3" fontId="9" fillId="0" borderId="0" xfId="1538" applyFont="1" applyFill="1" applyBorder="1" applyAlignment="1">
      <alignment horizontal="center" wrapText="1"/>
    </xf>
    <xf numFmtId="173" fontId="69" fillId="0" borderId="0" xfId="381" applyNumberFormat="1" applyFont="1" applyFill="1" applyBorder="1" applyAlignment="1">
      <alignment wrapText="1"/>
    </xf>
    <xf numFmtId="10" fontId="69" fillId="0" borderId="0" xfId="1895" applyNumberFormat="1" applyFont="1" applyFill="1" applyBorder="1" applyAlignment="1">
      <alignment wrapText="1"/>
    </xf>
    <xf numFmtId="173" fontId="9" fillId="0" borderId="0" xfId="381" applyNumberFormat="1" applyFont="1" applyFill="1" applyBorder="1" applyAlignment="1">
      <alignment wrapText="1"/>
    </xf>
    <xf numFmtId="3" fontId="9" fillId="0" borderId="0" xfId="1538" applyFont="1" applyFill="1" applyBorder="1" applyAlignment="1">
      <alignment vertical="top"/>
    </xf>
    <xf numFmtId="3" fontId="9" fillId="0" borderId="22" xfId="1538" applyFont="1" applyFill="1" applyBorder="1" applyAlignment="1">
      <alignment vertical="top"/>
    </xf>
    <xf numFmtId="174" fontId="69" fillId="0" borderId="22" xfId="1193" applyNumberFormat="1" applyFont="1" applyFill="1" applyBorder="1" applyAlignment="1">
      <alignment wrapText="1"/>
    </xf>
    <xf numFmtId="37" fontId="6" fillId="0" borderId="0" xfId="1681" quotePrefix="1" applyNumberFormat="1" applyFont="1" applyFill="1" applyBorder="1" applyAlignment="1">
      <alignment horizontal="left"/>
    </xf>
    <xf numFmtId="0" fontId="10" fillId="0" borderId="0" xfId="0" quotePrefix="1" applyFont="1" applyFill="1" applyAlignment="1">
      <alignment horizontal="left"/>
    </xf>
    <xf numFmtId="0" fontId="14" fillId="0" borderId="0" xfId="1682" applyFont="1" applyAlignment="1">
      <alignment horizontal="center"/>
    </xf>
    <xf numFmtId="173" fontId="51" fillId="30" borderId="0" xfId="381" applyNumberFormat="1" applyFont="1" applyFill="1" applyBorder="1"/>
    <xf numFmtId="172" fontId="15" fillId="0" borderId="26" xfId="1689" applyFont="1" applyFill="1" applyBorder="1" applyAlignment="1" applyProtection="1">
      <alignment horizontal="left" wrapText="1"/>
      <protection locked="0"/>
    </xf>
    <xf numFmtId="172" fontId="15" fillId="0" borderId="0" xfId="1689" applyFont="1" applyFill="1" applyBorder="1" applyAlignment="1" applyProtection="1">
      <alignment horizontal="left" wrapText="1"/>
      <protection locked="0"/>
    </xf>
    <xf numFmtId="172" fontId="15" fillId="0" borderId="27" xfId="1689" applyFont="1" applyFill="1" applyBorder="1" applyAlignment="1" applyProtection="1">
      <alignment horizontal="left" wrapText="1"/>
      <protection locked="0"/>
    </xf>
    <xf numFmtId="0" fontId="9" fillId="0" borderId="0" xfId="1689" quotePrefix="1" applyNumberFormat="1" applyFont="1" applyFill="1" applyBorder="1" applyAlignment="1" applyProtection="1">
      <alignment horizontal="left"/>
      <protection locked="0"/>
    </xf>
    <xf numFmtId="0" fontId="9" fillId="0" borderId="26" xfId="0" applyFont="1" applyFill="1" applyBorder="1" applyAlignment="1">
      <alignment wrapText="1"/>
    </xf>
    <xf numFmtId="0" fontId="9" fillId="0" borderId="27" xfId="0" applyFont="1" applyFill="1" applyBorder="1" applyAlignment="1">
      <alignment wrapText="1"/>
    </xf>
    <xf numFmtId="166" fontId="9" fillId="0" borderId="42" xfId="1689" applyNumberFormat="1" applyFont="1" applyFill="1" applyBorder="1" applyAlignment="1" applyProtection="1">
      <alignment horizontal="left"/>
      <protection locked="0"/>
    </xf>
    <xf numFmtId="0" fontId="9" fillId="0" borderId="11" xfId="1689" applyNumberFormat="1" applyFont="1" applyFill="1" applyBorder="1" applyAlignment="1" applyProtection="1">
      <alignment horizontal="center"/>
      <protection locked="0"/>
    </xf>
    <xf numFmtId="173" fontId="9" fillId="0" borderId="11" xfId="1689" applyNumberFormat="1" applyFont="1" applyFill="1" applyBorder="1" applyAlignment="1" applyProtection="1">
      <alignment horizontal="center"/>
      <protection locked="0"/>
    </xf>
    <xf numFmtId="174" fontId="9" fillId="0" borderId="34" xfId="0" applyNumberFormat="1" applyFont="1" applyFill="1" applyBorder="1"/>
    <xf numFmtId="0" fontId="133" fillId="0" borderId="0" xfId="0" applyFont="1" applyFill="1"/>
    <xf numFmtId="0" fontId="134" fillId="0" borderId="0" xfId="0" applyFont="1" applyFill="1"/>
    <xf numFmtId="41" fontId="8" fillId="0" borderId="0" xfId="1689" quotePrefix="1" applyNumberFormat="1" applyFont="1" applyFill="1" applyBorder="1" applyAlignment="1" applyProtection="1">
      <alignment horizontal="right" vertical="center"/>
      <protection locked="0"/>
    </xf>
    <xf numFmtId="41" fontId="8" fillId="0" borderId="0" xfId="1689" quotePrefix="1" applyNumberFormat="1" applyFont="1" applyFill="1" applyBorder="1" applyAlignment="1" applyProtection="1">
      <alignment horizontal="left" vertical="center"/>
      <protection locked="0"/>
    </xf>
    <xf numFmtId="41" fontId="79" fillId="0" borderId="0" xfId="1689" applyNumberFormat="1" applyFont="1" applyFill="1" applyBorder="1" applyAlignment="1" applyProtection="1">
      <alignment horizontal="center" vertical="center"/>
      <protection locked="0"/>
    </xf>
    <xf numFmtId="41" fontId="3" fillId="0" borderId="0" xfId="1689" quotePrefix="1" applyNumberFormat="1" applyFont="1" applyFill="1" applyBorder="1" applyAlignment="1" applyProtection="1">
      <alignment horizontal="left"/>
      <protection locked="0"/>
    </xf>
    <xf numFmtId="41" fontId="79" fillId="0" borderId="0" xfId="1689" applyNumberFormat="1" applyFont="1" applyFill="1" applyBorder="1" applyAlignment="1" applyProtection="1">
      <alignment horizontal="center"/>
      <protection locked="0"/>
    </xf>
    <xf numFmtId="41" fontId="9" fillId="0" borderId="0" xfId="1689" applyNumberFormat="1" applyFont="1" applyFill="1" applyAlignment="1" applyProtection="1">
      <alignment horizontal="right"/>
      <protection locked="0"/>
    </xf>
    <xf numFmtId="0" fontId="9" fillId="0" borderId="0" xfId="1689" applyNumberFormat="1" applyFont="1" applyFill="1" applyBorder="1" applyAlignment="1" applyProtection="1"/>
    <xf numFmtId="0" fontId="8" fillId="0" borderId="0" xfId="0" quotePrefix="1" applyFont="1" applyAlignment="1">
      <alignment horizontal="left"/>
    </xf>
    <xf numFmtId="0" fontId="4" fillId="30" borderId="0" xfId="589" applyNumberFormat="1" applyFont="1" applyFill="1" applyAlignment="1">
      <alignment horizontal="left"/>
    </xf>
    <xf numFmtId="0" fontId="6" fillId="0" borderId="51" xfId="0" applyFont="1" applyBorder="1"/>
    <xf numFmtId="0" fontId="6" fillId="0" borderId="26" xfId="0" applyFont="1" applyBorder="1"/>
    <xf numFmtId="0" fontId="6" fillId="30" borderId="0" xfId="0" applyFont="1" applyFill="1" applyAlignment="1">
      <alignment horizontal="left"/>
    </xf>
    <xf numFmtId="0" fontId="6" fillId="0" borderId="0" xfId="0" applyFont="1" applyFill="1" applyAlignment="1"/>
    <xf numFmtId="0" fontId="6" fillId="32" borderId="44" xfId="0" applyFont="1" applyFill="1" applyBorder="1" applyAlignment="1">
      <alignment horizontal="center"/>
    </xf>
    <xf numFmtId="0" fontId="9" fillId="0" borderId="0" xfId="0" applyFont="1" applyBorder="1" applyAlignment="1"/>
    <xf numFmtId="173" fontId="9" fillId="30" borderId="27" xfId="589" applyNumberFormat="1" applyFont="1" applyFill="1" applyBorder="1" applyAlignment="1">
      <alignment horizontal="right"/>
    </xf>
    <xf numFmtId="0" fontId="9" fillId="30" borderId="27" xfId="0" applyFont="1" applyFill="1" applyBorder="1" applyAlignment="1">
      <alignment horizontal="right"/>
    </xf>
    <xf numFmtId="174" fontId="9" fillId="0" borderId="46" xfId="0" applyNumberFormat="1" applyFont="1" applyFill="1" applyBorder="1"/>
    <xf numFmtId="174" fontId="9" fillId="30" borderId="35" xfId="0" applyNumberFormat="1" applyFont="1" applyFill="1" applyBorder="1"/>
    <xf numFmtId="173" fontId="9" fillId="0" borderId="47" xfId="589" applyNumberFormat="1" applyFont="1" applyBorder="1"/>
    <xf numFmtId="174" fontId="9" fillId="30" borderId="47" xfId="0" applyNumberFormat="1" applyFont="1" applyFill="1" applyBorder="1"/>
    <xf numFmtId="41" fontId="9" fillId="0" borderId="26" xfId="1689" quotePrefix="1" applyNumberFormat="1" applyFont="1" applyFill="1" applyBorder="1" applyAlignment="1" applyProtection="1">
      <alignment horizontal="left"/>
      <protection locked="0"/>
    </xf>
    <xf numFmtId="41" fontId="9" fillId="0" borderId="0" xfId="1689" quotePrefix="1" applyNumberFormat="1" applyFont="1" applyFill="1" applyBorder="1" applyAlignment="1" applyProtection="1">
      <alignment horizontal="right"/>
      <protection locked="0"/>
    </xf>
    <xf numFmtId="41" fontId="9" fillId="0" borderId="26" xfId="1689" quotePrefix="1" applyNumberFormat="1" applyFont="1" applyFill="1" applyBorder="1" applyAlignment="1" applyProtection="1">
      <alignment horizontal="left" vertical="center"/>
      <protection locked="0"/>
    </xf>
    <xf numFmtId="41" fontId="9" fillId="0" borderId="0" xfId="1689" quotePrefix="1" applyNumberFormat="1" applyFont="1" applyFill="1" applyBorder="1" applyAlignment="1" applyProtection="1">
      <alignment horizontal="right" vertical="center"/>
      <protection locked="0"/>
    </xf>
    <xf numFmtId="0" fontId="9" fillId="0" borderId="41" xfId="0" applyFont="1" applyFill="1" applyBorder="1" applyAlignment="1">
      <alignment horizontal="left"/>
    </xf>
    <xf numFmtId="0" fontId="9" fillId="0" borderId="37" xfId="0" applyFont="1" applyFill="1" applyBorder="1" applyAlignment="1">
      <alignment horizontal="right"/>
    </xf>
    <xf numFmtId="0" fontId="79" fillId="0" borderId="0" xfId="1475" applyFont="1"/>
    <xf numFmtId="0" fontId="9" fillId="0" borderId="46" xfId="1475" applyFont="1" applyBorder="1"/>
    <xf numFmtId="173" fontId="9" fillId="0" borderId="26" xfId="589" quotePrefix="1" applyNumberFormat="1" applyFont="1" applyBorder="1" applyAlignment="1">
      <alignment horizontal="right"/>
    </xf>
    <xf numFmtId="0" fontId="4" fillId="0" borderId="52" xfId="589" applyNumberFormat="1" applyFont="1" applyFill="1" applyBorder="1" applyAlignment="1">
      <alignment horizontal="left"/>
    </xf>
    <xf numFmtId="173" fontId="9" fillId="0" borderId="53" xfId="589" quotePrefix="1" applyNumberFormat="1" applyFont="1" applyBorder="1" applyAlignment="1">
      <alignment horizontal="right"/>
    </xf>
    <xf numFmtId="173" fontId="9" fillId="0" borderId="0" xfId="1475" applyNumberFormat="1" applyFont="1" applyAlignment="1">
      <alignment horizontal="left"/>
    </xf>
    <xf numFmtId="0" fontId="9" fillId="0" borderId="44" xfId="1475" applyFont="1" applyBorder="1" applyAlignment="1"/>
    <xf numFmtId="0" fontId="9" fillId="0" borderId="0" xfId="1475" applyFont="1" applyFill="1" applyBorder="1" applyAlignment="1"/>
    <xf numFmtId="0" fontId="9" fillId="0" borderId="0" xfId="1475" applyFont="1" applyBorder="1" applyAlignment="1"/>
    <xf numFmtId="43" fontId="4" fillId="30" borderId="54" xfId="381" applyFont="1" applyFill="1" applyBorder="1"/>
    <xf numFmtId="43" fontId="4" fillId="30" borderId="0" xfId="381" applyFont="1" applyFill="1" applyBorder="1"/>
    <xf numFmtId="0" fontId="9" fillId="0" borderId="11" xfId="1475" applyFont="1" applyBorder="1"/>
    <xf numFmtId="0" fontId="9" fillId="0" borderId="0" xfId="1475" applyFont="1" applyAlignment="1">
      <alignment wrapText="1"/>
    </xf>
    <xf numFmtId="174" fontId="9" fillId="30" borderId="46" xfId="1475" applyNumberFormat="1" applyFont="1" applyFill="1" applyBorder="1"/>
    <xf numFmtId="173" fontId="9" fillId="0" borderId="27" xfId="589" applyNumberFormat="1" applyFont="1" applyFill="1" applyBorder="1"/>
    <xf numFmtId="174" fontId="9" fillId="30" borderId="35" xfId="1475" applyNumberFormat="1" applyFont="1" applyFill="1" applyBorder="1"/>
    <xf numFmtId="173" fontId="9" fillId="0" borderId="34" xfId="589" applyNumberFormat="1" applyFont="1" applyFill="1" applyBorder="1"/>
    <xf numFmtId="174" fontId="9" fillId="30" borderId="47" xfId="1475" applyNumberFormat="1" applyFont="1" applyFill="1" applyBorder="1"/>
    <xf numFmtId="0" fontId="9" fillId="0" borderId="0" xfId="1475" quotePrefix="1" applyFont="1" applyAlignment="1">
      <alignment horizontal="left"/>
    </xf>
    <xf numFmtId="0" fontId="9" fillId="0" borderId="44" xfId="0" applyFont="1" applyFill="1" applyBorder="1" applyAlignment="1">
      <alignment horizontal="left"/>
    </xf>
    <xf numFmtId="0" fontId="135" fillId="0" borderId="0" xfId="1692" applyFont="1" applyFill="1"/>
    <xf numFmtId="0" fontId="3" fillId="0" borderId="16" xfId="1692" applyFont="1" applyFill="1" applyBorder="1" applyAlignment="1">
      <alignment horizontal="center"/>
    </xf>
    <xf numFmtId="0" fontId="136" fillId="0" borderId="0" xfId="1692" applyFont="1" applyFill="1" applyAlignment="1">
      <alignment horizontal="center"/>
    </xf>
    <xf numFmtId="173" fontId="4" fillId="30" borderId="0" xfId="381" applyNumberFormat="1" applyFont="1" applyFill="1" applyBorder="1"/>
    <xf numFmtId="0" fontId="137" fillId="0" borderId="0" xfId="0" applyFont="1" applyFill="1"/>
    <xf numFmtId="0" fontId="75" fillId="0" borderId="0" xfId="0" applyFont="1" applyFill="1"/>
    <xf numFmtId="0" fontId="75" fillId="0" borderId="0" xfId="1692" applyFont="1" applyFill="1"/>
    <xf numFmtId="173" fontId="4" fillId="0" borderId="2" xfId="381" applyNumberFormat="1" applyFont="1" applyFill="1" applyBorder="1"/>
    <xf numFmtId="0" fontId="136" fillId="0" borderId="0" xfId="1692" applyFont="1" applyFill="1" applyAlignment="1">
      <alignment horizontal="center" vertical="top"/>
    </xf>
    <xf numFmtId="0" fontId="117" fillId="0" borderId="0" xfId="1692" applyFont="1" applyFill="1" applyAlignment="1" applyProtection="1">
      <alignment vertical="top"/>
    </xf>
    <xf numFmtId="173" fontId="4" fillId="0" borderId="0" xfId="381" applyNumberFormat="1" applyFont="1" applyFill="1" applyBorder="1"/>
    <xf numFmtId="0" fontId="117" fillId="0" borderId="0" xfId="1692" applyFont="1" applyFill="1" applyProtection="1"/>
    <xf numFmtId="0" fontId="138" fillId="0" borderId="0" xfId="1692" applyFont="1" applyFill="1"/>
    <xf numFmtId="0" fontId="5" fillId="0" borderId="0" xfId="1682" applyFont="1" applyFill="1" applyBorder="1"/>
    <xf numFmtId="0" fontId="7" fillId="0" borderId="0" xfId="1681" applyFont="1" applyFill="1" applyAlignment="1">
      <alignment horizontal="center" wrapText="1"/>
    </xf>
    <xf numFmtId="0" fontId="5" fillId="0" borderId="0" xfId="1681" applyFont="1" applyFill="1" applyBorder="1"/>
    <xf numFmtId="43" fontId="75" fillId="30" borderId="0" xfId="381" applyFont="1" applyFill="1" applyBorder="1"/>
    <xf numFmtId="0" fontId="9" fillId="0" borderId="0" xfId="1475" applyFont="1" applyFill="1" applyAlignment="1">
      <alignment vertical="top" wrapText="1"/>
    </xf>
    <xf numFmtId="0" fontId="3" fillId="0" borderId="0" xfId="0" applyFont="1" applyFill="1" applyAlignment="1">
      <alignment horizontal="center"/>
    </xf>
    <xf numFmtId="0" fontId="6" fillId="0" borderId="2" xfId="1681" applyFont="1" applyFill="1" applyBorder="1"/>
    <xf numFmtId="10" fontId="6" fillId="0" borderId="2" xfId="1724" applyNumberFormat="1" applyFont="1" applyFill="1" applyBorder="1"/>
    <xf numFmtId="41" fontId="139" fillId="0" borderId="0" xfId="0" applyNumberFormat="1" applyFont="1" applyFill="1"/>
    <xf numFmtId="0" fontId="139" fillId="0" borderId="0" xfId="1681" applyFont="1" applyFill="1"/>
    <xf numFmtId="10" fontId="139" fillId="0" borderId="0" xfId="1724" applyNumberFormat="1" applyFont="1" applyFill="1" applyBorder="1"/>
    <xf numFmtId="41" fontId="6" fillId="0" borderId="2" xfId="0" applyNumberFormat="1" applyFont="1" applyFill="1" applyBorder="1"/>
    <xf numFmtId="0" fontId="139" fillId="0" borderId="0" xfId="0" applyFont="1"/>
    <xf numFmtId="0" fontId="141" fillId="0" borderId="0" xfId="1681" applyFont="1" applyFill="1"/>
    <xf numFmtId="173" fontId="139" fillId="30" borderId="0" xfId="381" applyNumberFormat="1" applyFont="1" applyFill="1" applyBorder="1"/>
    <xf numFmtId="173" fontId="9" fillId="30" borderId="0" xfId="381" applyNumberFormat="1" applyFont="1" applyFill="1" applyBorder="1"/>
    <xf numFmtId="0" fontId="9" fillId="0" borderId="0" xfId="1683" applyFont="1" applyFill="1" applyAlignment="1" applyProtection="1">
      <alignment horizontal="left"/>
    </xf>
    <xf numFmtId="10" fontId="4" fillId="30" borderId="0" xfId="1724" applyNumberFormat="1" applyFont="1" applyFill="1" applyBorder="1"/>
    <xf numFmtId="37" fontId="4" fillId="0" borderId="0" xfId="0" applyNumberFormat="1" applyFont="1" applyFill="1" applyAlignment="1">
      <alignment horizontal="left"/>
    </xf>
    <xf numFmtId="0" fontId="5" fillId="0" borderId="0" xfId="0" applyFont="1" applyFill="1" applyAlignment="1">
      <alignment horizontal="center" wrapText="1"/>
    </xf>
    <xf numFmtId="172" fontId="4" fillId="0" borderId="0" xfId="1689" applyFont="1" applyFill="1" applyAlignment="1">
      <alignment horizontal="right"/>
    </xf>
    <xf numFmtId="41" fontId="4" fillId="0" borderId="0" xfId="0" applyNumberFormat="1" applyFont="1" applyFill="1"/>
    <xf numFmtId="0" fontId="9" fillId="0" borderId="0" xfId="1682" applyFont="1" applyFill="1" applyAlignment="1" applyProtection="1">
      <alignment horizontal="left"/>
    </xf>
    <xf numFmtId="0" fontId="6" fillId="0" borderId="2" xfId="1682" applyFont="1" applyFill="1" applyBorder="1" applyAlignment="1" applyProtection="1">
      <alignment horizontal="left"/>
    </xf>
    <xf numFmtId="3" fontId="16" fillId="30" borderId="0" xfId="0" applyNumberFormat="1" applyFont="1" applyFill="1" applyBorder="1" applyAlignment="1"/>
    <xf numFmtId="9" fontId="16" fillId="30" borderId="16" xfId="1724" applyNumberFormat="1" applyFont="1" applyFill="1" applyBorder="1"/>
    <xf numFmtId="9" fontId="16" fillId="30" borderId="16" xfId="0" applyNumberFormat="1" applyFont="1" applyFill="1" applyBorder="1" applyAlignment="1"/>
    <xf numFmtId="173" fontId="17" fillId="30" borderId="0" xfId="664" applyNumberFormat="1" applyFont="1" applyFill="1" applyAlignment="1">
      <alignment horizontal="left"/>
    </xf>
    <xf numFmtId="173" fontId="18" fillId="30" borderId="0" xfId="664" applyNumberFormat="1" applyFont="1" applyFill="1" applyAlignment="1">
      <alignment horizontal="left"/>
    </xf>
    <xf numFmtId="1" fontId="18" fillId="0" borderId="2" xfId="1475" applyNumberFormat="1" applyFont="1" applyFill="1" applyBorder="1" applyAlignment="1">
      <alignment horizontal="right"/>
    </xf>
    <xf numFmtId="176" fontId="17" fillId="0" borderId="0" xfId="663" applyNumberFormat="1" applyFont="1" applyFill="1" applyBorder="1"/>
    <xf numFmtId="173" fontId="18" fillId="30" borderId="0" xfId="664" applyNumberFormat="1" applyFont="1" applyFill="1" applyBorder="1" applyAlignment="1">
      <alignment horizontal="left"/>
    </xf>
    <xf numFmtId="3" fontId="17" fillId="30" borderId="0" xfId="0" applyNumberFormat="1" applyFont="1" applyFill="1" applyAlignment="1">
      <alignment wrapText="1"/>
    </xf>
    <xf numFmtId="0" fontId="17" fillId="0" borderId="0" xfId="0" quotePrefix="1" applyFont="1" applyAlignment="1">
      <alignment horizontal="left"/>
    </xf>
    <xf numFmtId="0" fontId="17" fillId="0" borderId="0" xfId="0" applyFont="1"/>
    <xf numFmtId="0" fontId="17" fillId="0" borderId="0" xfId="0" quotePrefix="1" applyFont="1" applyFill="1" applyAlignment="1">
      <alignment horizontal="left"/>
    </xf>
    <xf numFmtId="173" fontId="16" fillId="30" borderId="2" xfId="589" applyNumberFormat="1" applyFont="1" applyFill="1" applyBorder="1"/>
    <xf numFmtId="0" fontId="2" fillId="0" borderId="0" xfId="1689" applyNumberFormat="1" applyFont="1" applyFill="1" applyAlignment="1" applyProtection="1">
      <alignment horizontal="center" vertical="top"/>
      <protection locked="0"/>
    </xf>
    <xf numFmtId="0" fontId="4" fillId="0" borderId="0" xfId="1689" applyNumberFormat="1" applyFont="1" applyFill="1" applyAlignment="1" applyProtection="1">
      <alignment horizontal="center" vertical="top"/>
      <protection locked="0"/>
    </xf>
    <xf numFmtId="170" fontId="4" fillId="0" borderId="2" xfId="1689" applyNumberFormat="1" applyFont="1" applyFill="1" applyBorder="1" applyAlignment="1" applyProtection="1">
      <protection locked="0"/>
    </xf>
    <xf numFmtId="172" fontId="4" fillId="0" borderId="0" xfId="1689" applyFont="1" applyFill="1" applyBorder="1" applyAlignment="1"/>
    <xf numFmtId="170" fontId="4" fillId="0" borderId="0" xfId="1689" applyNumberFormat="1" applyFont="1" applyFill="1" applyBorder="1" applyAlignment="1"/>
    <xf numFmtId="170" fontId="4" fillId="0" borderId="2" xfId="1689" applyNumberFormat="1" applyFont="1" applyFill="1" applyBorder="1" applyAlignment="1"/>
    <xf numFmtId="0" fontId="5" fillId="0" borderId="0" xfId="1475" applyFont="1" applyFill="1" applyAlignment="1">
      <alignment horizontal="left"/>
    </xf>
    <xf numFmtId="1" fontId="5" fillId="0" borderId="44" xfId="1689" applyNumberFormat="1" applyFont="1" applyFill="1" applyBorder="1" applyAlignment="1" applyProtection="1">
      <alignment horizontal="center"/>
      <protection locked="0"/>
    </xf>
    <xf numFmtId="0" fontId="5" fillId="0" borderId="44" xfId="1475" applyNumberFormat="1" applyFont="1" applyFill="1" applyBorder="1"/>
    <xf numFmtId="0" fontId="2" fillId="0" borderId="43" xfId="1689" applyNumberFormat="1" applyFont="1" applyFill="1" applyBorder="1" applyAlignment="1" applyProtection="1">
      <alignment horizontal="center"/>
      <protection locked="0"/>
    </xf>
    <xf numFmtId="0" fontId="5" fillId="0" borderId="0" xfId="1689" applyNumberFormat="1" applyFont="1" applyFill="1" applyBorder="1" applyProtection="1">
      <protection locked="0"/>
    </xf>
    <xf numFmtId="172" fontId="5" fillId="0" borderId="0" xfId="1689" applyFont="1" applyFill="1" applyBorder="1" applyAlignment="1"/>
    <xf numFmtId="1" fontId="5" fillId="0" borderId="0" xfId="1689" applyNumberFormat="1" applyFont="1" applyFill="1" applyBorder="1" applyAlignment="1" applyProtection="1">
      <alignment horizontal="center"/>
      <protection locked="0"/>
    </xf>
    <xf numFmtId="0" fontId="73" fillId="0" borderId="0" xfId="1689" applyNumberFormat="1" applyFont="1" applyFill="1" applyBorder="1" applyAlignment="1" applyProtection="1">
      <alignment horizontal="left"/>
      <protection locked="0"/>
    </xf>
    <xf numFmtId="3" fontId="9" fillId="0" borderId="2" xfId="1519" applyNumberFormat="1" applyFont="1" applyFill="1" applyBorder="1" applyAlignment="1">
      <alignment horizontal="right"/>
    </xf>
    <xf numFmtId="3" fontId="86" fillId="0" borderId="2" xfId="0" applyNumberFormat="1" applyFont="1" applyFill="1" applyBorder="1"/>
    <xf numFmtId="0" fontId="9" fillId="0" borderId="0" xfId="1426" applyFont="1" applyFill="1"/>
    <xf numFmtId="0" fontId="122" fillId="0" borderId="0" xfId="1519" applyFont="1" applyFill="1" applyBorder="1" applyAlignment="1"/>
    <xf numFmtId="3" fontId="122" fillId="0" borderId="0" xfId="0" applyNumberFormat="1" applyFont="1" applyFill="1"/>
    <xf numFmtId="0" fontId="4" fillId="0" borderId="43" xfId="1475" quotePrefix="1" applyNumberFormat="1" applyFont="1" applyFill="1" applyBorder="1" applyAlignment="1">
      <alignment horizontal="left"/>
    </xf>
    <xf numFmtId="0" fontId="6" fillId="0" borderId="2" xfId="1681" applyFont="1" applyFill="1" applyBorder="1" applyAlignment="1">
      <alignment horizontal="left"/>
    </xf>
    <xf numFmtId="39" fontId="4" fillId="0" borderId="0" xfId="399" applyNumberFormat="1" applyFont="1" applyFill="1" applyAlignment="1" applyProtection="1">
      <alignment horizontal="center"/>
      <protection locked="0"/>
    </xf>
    <xf numFmtId="43" fontId="4" fillId="0" borderId="0" xfId="399" applyFont="1" applyFill="1" applyProtection="1">
      <protection locked="0"/>
    </xf>
    <xf numFmtId="173" fontId="4" fillId="0" borderId="0" xfId="399" applyNumberFormat="1" applyFont="1" applyFill="1" applyAlignment="1" applyProtection="1">
      <protection locked="0"/>
    </xf>
    <xf numFmtId="42" fontId="4" fillId="0" borderId="0" xfId="1750" applyNumberFormat="1" applyFont="1" applyFill="1" applyAlignment="1"/>
    <xf numFmtId="43" fontId="4" fillId="0" borderId="0" xfId="399" applyFont="1" applyFill="1" applyAlignment="1"/>
    <xf numFmtId="181" fontId="5" fillId="0" borderId="0" xfId="399" applyNumberFormat="1" applyFont="1" applyFill="1" applyAlignment="1" applyProtection="1">
      <protection locked="0"/>
    </xf>
    <xf numFmtId="176" fontId="4" fillId="0" borderId="0" xfId="399" applyNumberFormat="1" applyFont="1" applyFill="1" applyAlignment="1" applyProtection="1">
      <alignment horizontal="center"/>
      <protection locked="0"/>
    </xf>
    <xf numFmtId="181" fontId="4" fillId="0" borderId="0" xfId="399" applyNumberFormat="1" applyFont="1" applyFill="1" applyAlignment="1" applyProtection="1">
      <protection locked="0"/>
    </xf>
    <xf numFmtId="43" fontId="9" fillId="0" borderId="0" xfId="399" applyNumberFormat="1" applyFont="1" applyFill="1" applyAlignment="1" applyProtection="1">
      <protection locked="0"/>
    </xf>
    <xf numFmtId="186" fontId="4" fillId="0" borderId="0" xfId="399" applyNumberFormat="1" applyFont="1" applyFill="1" applyAlignment="1" applyProtection="1">
      <alignment horizontal="center"/>
      <protection locked="0"/>
    </xf>
    <xf numFmtId="43" fontId="4" fillId="0" borderId="0" xfId="399" applyFont="1" applyFill="1" applyAlignment="1" applyProtection="1">
      <protection locked="0"/>
    </xf>
    <xf numFmtId="173" fontId="4" fillId="0" borderId="0" xfId="399" applyNumberFormat="1" applyFont="1" applyFill="1" applyAlignment="1"/>
    <xf numFmtId="173" fontId="4" fillId="0" borderId="22" xfId="399" applyNumberFormat="1" applyFont="1" applyFill="1" applyBorder="1" applyAlignment="1" applyProtection="1">
      <protection locked="0"/>
    </xf>
    <xf numFmtId="173" fontId="4" fillId="0" borderId="11" xfId="399" applyNumberFormat="1" applyFont="1" applyFill="1" applyBorder="1" applyAlignment="1"/>
    <xf numFmtId="10" fontId="4" fillId="30" borderId="0" xfId="1750" applyNumberFormat="1" applyFont="1" applyFill="1"/>
    <xf numFmtId="191" fontId="4" fillId="0" borderId="0" xfId="1750" applyNumberFormat="1" applyFont="1" applyFill="1" applyAlignment="1"/>
    <xf numFmtId="181" fontId="4" fillId="0" borderId="0" xfId="399" applyNumberFormat="1" applyFont="1" applyFill="1" applyProtection="1">
      <protection locked="0"/>
    </xf>
    <xf numFmtId="10" fontId="4" fillId="29" borderId="0" xfId="1750" applyNumberFormat="1" applyFont="1" applyFill="1" applyAlignment="1" applyProtection="1">
      <protection locked="0"/>
    </xf>
    <xf numFmtId="181" fontId="4" fillId="0" borderId="0" xfId="399" applyNumberFormat="1" applyFont="1" applyFill="1" applyAlignment="1"/>
    <xf numFmtId="173" fontId="9" fillId="0" borderId="0" xfId="399" applyNumberFormat="1" applyFont="1" applyFill="1"/>
    <xf numFmtId="0" fontId="85" fillId="0" borderId="0" xfId="1426" applyFont="1" applyFill="1"/>
    <xf numFmtId="0" fontId="85" fillId="0" borderId="0" xfId="1519" applyFont="1" applyFill="1" applyBorder="1" applyAlignment="1"/>
    <xf numFmtId="0" fontId="85" fillId="0" borderId="0" xfId="1519" applyFont="1" applyFill="1" applyBorder="1"/>
    <xf numFmtId="173" fontId="85" fillId="0" borderId="0" xfId="1071" applyNumberFormat="1" applyFont="1" applyFill="1"/>
    <xf numFmtId="173" fontId="85" fillId="0" borderId="2" xfId="1519" applyNumberFormat="1" applyFont="1" applyFill="1" applyBorder="1"/>
    <xf numFmtId="3" fontId="5" fillId="0" borderId="0" xfId="399" applyNumberFormat="1" applyFont="1" applyFill="1" applyAlignment="1"/>
    <xf numFmtId="0" fontId="28" fillId="0" borderId="0" xfId="1685" applyFont="1" applyFill="1" applyAlignment="1">
      <alignment horizontal="left"/>
    </xf>
    <xf numFmtId="0" fontId="7" fillId="0" borderId="0" xfId="1685" applyFont="1" applyFill="1" applyAlignment="1">
      <alignment horizontal="left"/>
    </xf>
    <xf numFmtId="0" fontId="85" fillId="0" borderId="0" xfId="1685" applyFont="1" applyFill="1" applyAlignment="1">
      <alignment horizontal="center"/>
    </xf>
    <xf numFmtId="41" fontId="85" fillId="0" borderId="0" xfId="1685" applyNumberFormat="1" applyFont="1" applyFill="1"/>
    <xf numFmtId="0" fontId="8" fillId="0" borderId="0" xfId="1685" applyFont="1" applyFill="1" applyAlignment="1">
      <alignment horizontal="center"/>
    </xf>
    <xf numFmtId="0" fontId="93" fillId="0" borderId="0" xfId="1685" applyFont="1" applyFill="1" applyAlignment="1">
      <alignment horizontal="center"/>
    </xf>
    <xf numFmtId="43" fontId="9" fillId="30" borderId="0" xfId="399" applyFont="1" applyFill="1" applyBorder="1"/>
    <xf numFmtId="0" fontId="91" fillId="0" borderId="0" xfId="1685" applyFont="1" applyFill="1" applyAlignment="1">
      <alignment horizontal="left"/>
    </xf>
    <xf numFmtId="173" fontId="6" fillId="0" borderId="16" xfId="399" applyNumberFormat="1" applyFont="1" applyFill="1" applyBorder="1" applyAlignment="1">
      <alignment horizontal="center"/>
    </xf>
    <xf numFmtId="37" fontId="6" fillId="0" borderId="0" xfId="399" applyNumberFormat="1" applyFont="1" applyFill="1" applyBorder="1"/>
    <xf numFmtId="43" fontId="86" fillId="30" borderId="0" xfId="399" applyFont="1" applyFill="1" applyBorder="1"/>
    <xf numFmtId="43" fontId="9" fillId="0" borderId="0" xfId="399" applyFont="1" applyFill="1" applyBorder="1"/>
    <xf numFmtId="173" fontId="86" fillId="30" borderId="0" xfId="399" applyNumberFormat="1" applyFont="1" applyFill="1" applyBorder="1"/>
    <xf numFmtId="43" fontId="86" fillId="30" borderId="0" xfId="399" applyFont="1" applyFill="1" applyBorder="1" applyAlignment="1">
      <alignment horizontal="center"/>
    </xf>
    <xf numFmtId="37" fontId="9" fillId="0" borderId="0" xfId="399" applyNumberFormat="1" applyFont="1" applyFill="1"/>
    <xf numFmtId="37" fontId="6" fillId="0" borderId="21" xfId="399" applyNumberFormat="1" applyFont="1" applyFill="1" applyBorder="1"/>
    <xf numFmtId="43" fontId="9" fillId="0" borderId="0" xfId="399" applyFont="1" applyFill="1"/>
    <xf numFmtId="0" fontId="86" fillId="30" borderId="0" xfId="399" applyNumberFormat="1" applyFont="1" applyFill="1" applyBorder="1" applyAlignment="1">
      <alignment horizontal="left"/>
    </xf>
    <xf numFmtId="173" fontId="9" fillId="0" borderId="0" xfId="399" applyNumberFormat="1" applyFont="1" applyFill="1" applyBorder="1"/>
    <xf numFmtId="37" fontId="9" fillId="0" borderId="0" xfId="399" applyNumberFormat="1" applyFont="1" applyFill="1" applyBorder="1"/>
    <xf numFmtId="173" fontId="69" fillId="0" borderId="0" xfId="399" applyNumberFormat="1" applyFont="1" applyFill="1" applyBorder="1" applyAlignment="1">
      <alignment wrapText="1"/>
    </xf>
    <xf numFmtId="10" fontId="69" fillId="0" borderId="0" xfId="1896" applyNumberFormat="1" applyFont="1" applyFill="1" applyBorder="1" applyAlignment="1">
      <alignment wrapText="1"/>
    </xf>
    <xf numFmtId="173" fontId="9" fillId="0" borderId="0" xfId="399" applyNumberFormat="1" applyFont="1" applyFill="1" applyBorder="1" applyAlignment="1">
      <alignment wrapText="1"/>
    </xf>
    <xf numFmtId="174" fontId="69" fillId="0" borderId="22" xfId="1194" applyNumberFormat="1" applyFont="1" applyFill="1" applyBorder="1" applyAlignment="1">
      <alignment wrapText="1"/>
    </xf>
    <xf numFmtId="49" fontId="4" fillId="0" borderId="0" xfId="1685" applyNumberFormat="1" applyFont="1" applyFill="1" applyAlignment="1">
      <alignment horizontal="center"/>
    </xf>
    <xf numFmtId="173" fontId="9" fillId="0" borderId="2" xfId="399" applyNumberFormat="1" applyFont="1" applyFill="1" applyBorder="1"/>
    <xf numFmtId="37" fontId="9" fillId="0" borderId="22" xfId="399" applyNumberFormat="1" applyFont="1" applyFill="1" applyBorder="1" applyAlignment="1"/>
    <xf numFmtId="37" fontId="9" fillId="0" borderId="0" xfId="664" applyNumberFormat="1" applyFont="1" applyFill="1"/>
    <xf numFmtId="173" fontId="16" fillId="0" borderId="0" xfId="399" applyNumberFormat="1" applyFont="1" applyFill="1" applyBorder="1"/>
    <xf numFmtId="43" fontId="16" fillId="30" borderId="0" xfId="399" applyFont="1" applyFill="1" applyBorder="1"/>
    <xf numFmtId="173" fontId="16" fillId="30" borderId="0" xfId="399" applyNumberFormat="1" applyFont="1" applyFill="1" applyBorder="1"/>
    <xf numFmtId="174" fontId="9" fillId="0" borderId="0" xfId="399" applyNumberFormat="1" applyFont="1" applyFill="1"/>
    <xf numFmtId="43" fontId="9" fillId="0" borderId="0" xfId="399" applyFont="1" applyFill="1" applyAlignment="1" applyProtection="1">
      <protection locked="0"/>
    </xf>
    <xf numFmtId="173" fontId="51" fillId="30" borderId="0" xfId="399" applyNumberFormat="1" applyFont="1" applyFill="1" applyBorder="1"/>
    <xf numFmtId="0" fontId="9" fillId="0" borderId="0" xfId="399" applyNumberFormat="1" applyFont="1" applyFill="1" applyAlignment="1" applyProtection="1">
      <protection locked="0"/>
    </xf>
    <xf numFmtId="173" fontId="86" fillId="0" borderId="39" xfId="399" applyNumberFormat="1" applyFont="1" applyFill="1" applyBorder="1"/>
    <xf numFmtId="175" fontId="86" fillId="0" borderId="39" xfId="1750" applyNumberFormat="1" applyFont="1" applyFill="1" applyBorder="1"/>
    <xf numFmtId="10" fontId="9" fillId="0" borderId="0" xfId="1750" applyNumberFormat="1" applyFont="1" applyFill="1" applyAlignment="1" applyProtection="1">
      <alignment horizontal="center"/>
      <protection locked="0"/>
    </xf>
    <xf numFmtId="10" fontId="9" fillId="0" borderId="0" xfId="1750" applyNumberFormat="1" applyFont="1" applyFill="1" applyAlignment="1" applyProtection="1">
      <protection locked="0"/>
    </xf>
    <xf numFmtId="10" fontId="10" fillId="0" borderId="0" xfId="1750" applyNumberFormat="1" applyFont="1" applyFill="1" applyAlignment="1" applyProtection="1">
      <protection locked="0"/>
    </xf>
    <xf numFmtId="41" fontId="86" fillId="0" borderId="39" xfId="0" applyNumberFormat="1" applyFont="1" applyFill="1" applyBorder="1"/>
    <xf numFmtId="10" fontId="86" fillId="0" borderId="26" xfId="0" applyNumberFormat="1" applyFont="1" applyFill="1" applyBorder="1"/>
    <xf numFmtId="41" fontId="86" fillId="0" borderId="26" xfId="0" applyNumberFormat="1" applyFont="1" applyFill="1" applyBorder="1"/>
    <xf numFmtId="173" fontId="86" fillId="0" borderId="39" xfId="0" applyNumberFormat="1" applyFont="1" applyFill="1" applyBorder="1"/>
    <xf numFmtId="173" fontId="86" fillId="0" borderId="40" xfId="0" applyNumberFormat="1" applyFont="1" applyFill="1" applyBorder="1"/>
    <xf numFmtId="173" fontId="9" fillId="0" borderId="16" xfId="399" applyNumberFormat="1" applyFont="1" applyFill="1" applyBorder="1" applyAlignment="1"/>
    <xf numFmtId="173" fontId="9" fillId="0" borderId="0" xfId="399" applyNumberFormat="1" applyFont="1" applyFill="1" applyBorder="1" applyAlignment="1"/>
    <xf numFmtId="164" fontId="9" fillId="0" borderId="0" xfId="1750" applyNumberFormat="1" applyFont="1" applyFill="1"/>
    <xf numFmtId="43" fontId="9" fillId="0" borderId="0" xfId="399" applyNumberFormat="1" applyFont="1" applyFill="1"/>
    <xf numFmtId="10" fontId="86" fillId="0" borderId="39" xfId="0" applyNumberFormat="1" applyFont="1" applyFill="1" applyBorder="1"/>
    <xf numFmtId="167" fontId="86" fillId="0" borderId="39" xfId="0" applyNumberFormat="1" applyFont="1" applyFill="1" applyBorder="1"/>
    <xf numFmtId="173" fontId="86" fillId="0" borderId="50" xfId="0" applyNumberFormat="1" applyFont="1" applyFill="1" applyBorder="1"/>
    <xf numFmtId="173" fontId="86" fillId="0" borderId="41" xfId="0" applyNumberFormat="1" applyFont="1" applyFill="1" applyBorder="1"/>
    <xf numFmtId="43" fontId="4" fillId="30" borderId="54" xfId="399" applyFont="1" applyFill="1" applyBorder="1"/>
    <xf numFmtId="43" fontId="4" fillId="30" borderId="0" xfId="399" applyFont="1" applyFill="1" applyBorder="1"/>
    <xf numFmtId="0" fontId="70" fillId="0" borderId="0" xfId="1693" applyFont="1" applyFill="1" applyAlignment="1">
      <alignment horizontal="right"/>
    </xf>
    <xf numFmtId="0" fontId="135" fillId="0" borderId="0" xfId="1693" applyFont="1" applyFill="1"/>
    <xf numFmtId="0" fontId="71" fillId="0" borderId="0" xfId="1693" applyFont="1" applyFill="1" applyAlignment="1">
      <alignment horizontal="right"/>
    </xf>
    <xf numFmtId="0" fontId="8" fillId="0" borderId="0" xfId="1693" applyFont="1" applyFill="1" applyAlignment="1">
      <alignment horizontal="center"/>
    </xf>
    <xf numFmtId="0" fontId="2" fillId="0" borderId="0" xfId="1693" applyFont="1" applyFill="1"/>
    <xf numFmtId="0" fontId="3" fillId="0" borderId="16" xfId="1693" applyFont="1" applyFill="1" applyBorder="1" applyAlignment="1">
      <alignment horizontal="center"/>
    </xf>
    <xf numFmtId="0" fontId="4" fillId="0" borderId="0" xfId="1693" applyFont="1" applyFill="1" applyAlignment="1">
      <alignment horizontal="center"/>
    </xf>
    <xf numFmtId="0" fontId="136" fillId="0" borderId="0" xfId="1693" applyFont="1" applyFill="1" applyAlignment="1">
      <alignment horizontal="center"/>
    </xf>
    <xf numFmtId="0" fontId="3" fillId="0" borderId="0" xfId="1693" applyFont="1" applyFill="1"/>
    <xf numFmtId="173" fontId="4" fillId="30" borderId="0" xfId="399" applyNumberFormat="1" applyFont="1" applyFill="1" applyBorder="1"/>
    <xf numFmtId="173" fontId="4" fillId="0" borderId="0" xfId="1693" applyNumberFormat="1" applyFont="1" applyFill="1"/>
    <xf numFmtId="173" fontId="9" fillId="0" borderId="0" xfId="1693" applyNumberFormat="1" applyFont="1" applyFill="1"/>
    <xf numFmtId="0" fontId="117" fillId="0" borderId="0" xfId="1693" applyFont="1" applyFill="1"/>
    <xf numFmtId="0" fontId="2" fillId="0" borderId="0" xfId="1693" quotePrefix="1" applyFont="1" applyFill="1" applyAlignment="1">
      <alignment horizontal="left"/>
    </xf>
    <xf numFmtId="173" fontId="4" fillId="0" borderId="2" xfId="1693" applyNumberFormat="1" applyFont="1" applyFill="1" applyBorder="1"/>
    <xf numFmtId="0" fontId="75" fillId="0" borderId="0" xfId="1693" applyFont="1" applyFill="1"/>
    <xf numFmtId="173" fontId="4" fillId="0" borderId="2" xfId="399" applyNumberFormat="1" applyFont="1" applyFill="1" applyBorder="1"/>
    <xf numFmtId="173" fontId="4" fillId="0" borderId="0" xfId="1693" applyNumberFormat="1" applyFont="1" applyFill="1" applyBorder="1"/>
    <xf numFmtId="0" fontId="3" fillId="0" borderId="0" xfId="1693" applyFont="1" applyFill="1" applyAlignment="1">
      <alignment horizontal="right"/>
    </xf>
    <xf numFmtId="0" fontId="5" fillId="0" borderId="0" xfId="1693" applyFont="1" applyFill="1"/>
    <xf numFmtId="0" fontId="136" fillId="0" borderId="0" xfId="1693" applyFont="1" applyFill="1" applyAlignment="1">
      <alignment horizontal="center" vertical="top"/>
    </xf>
    <xf numFmtId="0" fontId="119" fillId="0" borderId="0" xfId="1693" applyFont="1" applyFill="1"/>
    <xf numFmtId="0" fontId="118" fillId="0" borderId="0" xfId="1693" applyFont="1" applyFill="1"/>
    <xf numFmtId="0" fontId="117" fillId="0" borderId="0" xfId="1693" applyFont="1" applyFill="1" applyAlignment="1" applyProtection="1">
      <alignment vertical="top"/>
    </xf>
    <xf numFmtId="0" fontId="118" fillId="0" borderId="0" xfId="1693" applyFont="1" applyFill="1" applyAlignment="1">
      <alignment vertical="top"/>
    </xf>
    <xf numFmtId="0" fontId="119" fillId="0" borderId="0" xfId="1693" applyFont="1" applyFill="1" applyAlignment="1">
      <alignment vertical="top"/>
    </xf>
    <xf numFmtId="43" fontId="119" fillId="0" borderId="0" xfId="1073" applyFont="1" applyFill="1" applyAlignment="1">
      <alignment vertical="top"/>
    </xf>
    <xf numFmtId="173" fontId="4" fillId="0" borderId="0" xfId="399" applyNumberFormat="1" applyFont="1" applyFill="1" applyBorder="1"/>
    <xf numFmtId="0" fontId="117" fillId="0" borderId="0" xfId="1693" applyFont="1" applyFill="1" applyProtection="1"/>
    <xf numFmtId="43" fontId="119" fillId="0" borderId="0" xfId="1073" applyFont="1" applyFill="1"/>
    <xf numFmtId="0" fontId="138" fillId="0" borderId="0" xfId="1693" applyFont="1" applyFill="1"/>
    <xf numFmtId="43" fontId="75" fillId="30" borderId="0" xfId="399" applyFont="1" applyFill="1" applyBorder="1"/>
    <xf numFmtId="5" fontId="9" fillId="0" borderId="21" xfId="399" applyNumberFormat="1" applyFont="1" applyFill="1" applyBorder="1" applyAlignment="1"/>
    <xf numFmtId="173" fontId="9" fillId="0" borderId="0" xfId="399" applyNumberFormat="1" applyFont="1" applyFill="1" applyAlignment="1"/>
    <xf numFmtId="0" fontId="82" fillId="0" borderId="0" xfId="1685" applyFont="1" applyFill="1" applyBorder="1"/>
    <xf numFmtId="0" fontId="7" fillId="0" borderId="0" xfId="1685" applyFont="1" applyFill="1" applyAlignment="1">
      <alignment horizontal="center" wrapText="1"/>
    </xf>
    <xf numFmtId="0" fontId="89" fillId="30" borderId="0" xfId="664" applyNumberFormat="1" applyFont="1" applyFill="1" applyBorder="1" applyAlignment="1">
      <alignment horizontal="left"/>
    </xf>
    <xf numFmtId="43" fontId="89" fillId="30" borderId="0" xfId="664" applyFont="1" applyFill="1" applyBorder="1"/>
    <xf numFmtId="0" fontId="86" fillId="30" borderId="0" xfId="664" applyNumberFormat="1" applyFont="1" applyFill="1" applyBorder="1" applyAlignment="1">
      <alignment horizontal="left"/>
    </xf>
    <xf numFmtId="173" fontId="16" fillId="30" borderId="0" xfId="664" applyNumberFormat="1" applyFont="1" applyFill="1" applyBorder="1"/>
    <xf numFmtId="43" fontId="16" fillId="30" borderId="0" xfId="664" applyFont="1" applyFill="1" applyBorder="1"/>
    <xf numFmtId="0" fontId="19" fillId="0" borderId="0" xfId="1685" applyNumberFormat="1" applyFont="1" applyFill="1" applyAlignment="1">
      <alignment horizontal="left"/>
    </xf>
    <xf numFmtId="40" fontId="4" fillId="0" borderId="0" xfId="1685" applyNumberFormat="1" applyFont="1" applyFill="1"/>
    <xf numFmtId="41" fontId="4" fillId="0" borderId="0" xfId="1685" applyNumberFormat="1" applyFont="1" applyFill="1"/>
    <xf numFmtId="180" fontId="4" fillId="0" borderId="0" xfId="1685" applyNumberFormat="1" applyFont="1" applyFill="1"/>
    <xf numFmtId="0" fontId="4" fillId="0" borderId="0" xfId="1685" applyNumberFormat="1" applyFont="1" applyFill="1" applyAlignment="1">
      <alignment horizontal="left"/>
    </xf>
    <xf numFmtId="10" fontId="4" fillId="0" borderId="0" xfId="1750" applyNumberFormat="1" applyFont="1" applyFill="1" applyAlignment="1">
      <alignment horizontal="right"/>
    </xf>
    <xf numFmtId="0" fontId="83" fillId="0" borderId="0" xfId="1685" applyFont="1" applyFill="1" applyBorder="1"/>
    <xf numFmtId="43" fontId="4" fillId="0" borderId="0" xfId="1685" applyNumberFormat="1" applyFont="1" applyFill="1"/>
    <xf numFmtId="0" fontId="4" fillId="0" borderId="0" xfId="1685" applyNumberFormat="1" applyFont="1" applyFill="1" applyAlignment="1">
      <alignment horizontal="center"/>
    </xf>
    <xf numFmtId="43" fontId="86" fillId="30" borderId="0" xfId="664" applyFont="1" applyFill="1" applyBorder="1"/>
    <xf numFmtId="0" fontId="86" fillId="30" borderId="0" xfId="399" applyNumberFormat="1" applyFont="1" applyFill="1" applyBorder="1"/>
    <xf numFmtId="37" fontId="4" fillId="0" borderId="0" xfId="1685" applyNumberFormat="1" applyFont="1" applyFill="1"/>
    <xf numFmtId="0" fontId="4" fillId="0" borderId="0" xfId="1685" applyFont="1" applyFill="1" applyAlignment="1">
      <alignment horizontal="right"/>
    </xf>
    <xf numFmtId="0" fontId="5" fillId="0" borderId="0" xfId="1685" applyNumberFormat="1" applyFont="1" applyFill="1" applyAlignment="1">
      <alignment horizontal="center"/>
    </xf>
    <xf numFmtId="37" fontId="5" fillId="0" borderId="0" xfId="399" applyNumberFormat="1" applyFont="1" applyFill="1" applyAlignment="1">
      <alignment horizontal="center"/>
    </xf>
    <xf numFmtId="0" fontId="89" fillId="30" borderId="0" xfId="664" applyNumberFormat="1" applyFont="1" applyFill="1" applyBorder="1"/>
    <xf numFmtId="0" fontId="86" fillId="30" borderId="0" xfId="664" applyNumberFormat="1" applyFont="1" applyFill="1" applyBorder="1"/>
    <xf numFmtId="41" fontId="4" fillId="0" borderId="21" xfId="1685" applyNumberFormat="1" applyFont="1" applyFill="1" applyBorder="1"/>
    <xf numFmtId="10" fontId="4" fillId="30" borderId="0" xfId="1750" applyNumberFormat="1" applyFont="1" applyFill="1" applyBorder="1"/>
    <xf numFmtId="10" fontId="16" fillId="30" borderId="0" xfId="1750" applyNumberFormat="1" applyFont="1" applyFill="1" applyBorder="1"/>
    <xf numFmtId="10" fontId="4" fillId="0" borderId="16" xfId="1750" applyNumberFormat="1" applyFont="1" applyFill="1" applyBorder="1" applyAlignment="1" applyProtection="1">
      <protection locked="0"/>
    </xf>
    <xf numFmtId="9" fontId="16" fillId="30" borderId="16" xfId="1750" applyNumberFormat="1" applyFont="1" applyFill="1" applyBorder="1"/>
    <xf numFmtId="173" fontId="4" fillId="0" borderId="0" xfId="399" applyNumberFormat="1" applyFont="1" applyFill="1" applyBorder="1" applyAlignment="1" applyProtection="1">
      <protection locked="0"/>
    </xf>
    <xf numFmtId="173" fontId="4" fillId="0" borderId="21" xfId="399" applyNumberFormat="1" applyFont="1" applyFill="1" applyBorder="1" applyAlignment="1"/>
    <xf numFmtId="173" fontId="88" fillId="30" borderId="0" xfId="664" applyNumberFormat="1" applyFont="1" applyFill="1" applyBorder="1"/>
    <xf numFmtId="173" fontId="9" fillId="0" borderId="0" xfId="664" applyNumberFormat="1" applyFont="1" applyFill="1"/>
    <xf numFmtId="43" fontId="57" fillId="0" borderId="0" xfId="399" applyFont="1" applyFill="1"/>
    <xf numFmtId="43" fontId="60" fillId="0" borderId="0" xfId="399" applyFont="1" applyFill="1"/>
    <xf numFmtId="173" fontId="60" fillId="0" borderId="0" xfId="399" applyNumberFormat="1" applyFont="1" applyFill="1"/>
    <xf numFmtId="173" fontId="4" fillId="0" borderId="0" xfId="399" applyNumberFormat="1" applyFont="1" applyFill="1"/>
    <xf numFmtId="173" fontId="57" fillId="0" borderId="22" xfId="399" applyNumberFormat="1" applyFont="1" applyFill="1" applyBorder="1"/>
    <xf numFmtId="43" fontId="57" fillId="0" borderId="0" xfId="399" applyFont="1" applyFill="1" applyAlignment="1">
      <alignment vertical="center"/>
    </xf>
    <xf numFmtId="43" fontId="4" fillId="0" borderId="0" xfId="399" applyFont="1" applyFill="1" applyAlignment="1">
      <alignment vertical="center"/>
    </xf>
    <xf numFmtId="173" fontId="4" fillId="0" borderId="0" xfId="399" applyNumberFormat="1" applyFont="1" applyFill="1" applyAlignment="1">
      <alignment vertical="center"/>
    </xf>
    <xf numFmtId="43" fontId="60" fillId="0" borderId="0" xfId="399" applyFont="1" applyFill="1" applyAlignment="1">
      <alignment horizontal="right" vertical="center"/>
    </xf>
    <xf numFmtId="173" fontId="57" fillId="0" borderId="20" xfId="399" applyNumberFormat="1" applyFont="1" applyFill="1" applyBorder="1"/>
    <xf numFmtId="173" fontId="9" fillId="0" borderId="0" xfId="664" applyNumberFormat="1" applyFont="1" applyFill="1" applyProtection="1">
      <protection locked="0"/>
    </xf>
    <xf numFmtId="0" fontId="78" fillId="0" borderId="0" xfId="1685" applyFont="1" applyFill="1" applyBorder="1" applyAlignment="1">
      <alignment horizontal="left"/>
    </xf>
    <xf numFmtId="173" fontId="85" fillId="30" borderId="0" xfId="399" applyNumberFormat="1" applyFont="1" applyFill="1" applyBorder="1"/>
    <xf numFmtId="41" fontId="85" fillId="0" borderId="0" xfId="0" applyNumberFormat="1" applyFont="1" applyFill="1"/>
    <xf numFmtId="0" fontId="141" fillId="0" borderId="0" xfId="1685" applyFont="1" applyFill="1"/>
    <xf numFmtId="0" fontId="9" fillId="0" borderId="0" xfId="1684" applyFont="1" applyFill="1" applyAlignment="1" applyProtection="1">
      <alignment horizontal="left"/>
    </xf>
    <xf numFmtId="10" fontId="85" fillId="0" borderId="0" xfId="1750" applyNumberFormat="1" applyFont="1" applyFill="1" applyBorder="1"/>
    <xf numFmtId="0" fontId="85" fillId="0" borderId="0" xfId="1685" applyFont="1" applyFill="1"/>
    <xf numFmtId="0" fontId="6" fillId="0" borderId="2" xfId="1685" applyFont="1" applyFill="1" applyBorder="1" applyAlignment="1">
      <alignment horizontal="left"/>
    </xf>
    <xf numFmtId="10" fontId="6" fillId="0" borderId="2" xfId="1750" applyNumberFormat="1" applyFont="1" applyFill="1" applyBorder="1"/>
    <xf numFmtId="0" fontId="6" fillId="0" borderId="2" xfId="1685" applyFont="1" applyFill="1" applyBorder="1"/>
    <xf numFmtId="173" fontId="6" fillId="0" borderId="2" xfId="1750" applyNumberFormat="1" applyFont="1" applyFill="1" applyBorder="1"/>
    <xf numFmtId="173" fontId="9" fillId="0" borderId="0" xfId="1750" applyNumberFormat="1" applyFont="1" applyFill="1" applyBorder="1"/>
    <xf numFmtId="173" fontId="9" fillId="30" borderId="0" xfId="399" applyNumberFormat="1" applyFont="1" applyFill="1" applyBorder="1"/>
    <xf numFmtId="173" fontId="9" fillId="0" borderId="2" xfId="1750" applyNumberFormat="1" applyFont="1" applyFill="1" applyBorder="1"/>
    <xf numFmtId="41" fontId="9" fillId="0" borderId="0" xfId="1750" applyNumberFormat="1" applyFont="1" applyFill="1" applyBorder="1"/>
    <xf numFmtId="186" fontId="9" fillId="0" borderId="0" xfId="399" applyNumberFormat="1" applyFont="1" applyFill="1" applyBorder="1"/>
    <xf numFmtId="173" fontId="6" fillId="0" borderId="20" xfId="399" applyNumberFormat="1" applyFont="1" applyFill="1" applyBorder="1"/>
    <xf numFmtId="187" fontId="86" fillId="30" borderId="0" xfId="1750" applyNumberFormat="1" applyFont="1" applyFill="1" applyBorder="1"/>
    <xf numFmtId="173" fontId="9" fillId="0" borderId="16" xfId="381" applyNumberFormat="1" applyFont="1" applyFill="1" applyBorder="1"/>
    <xf numFmtId="0" fontId="86" fillId="30" borderId="0" xfId="1682" quotePrefix="1" applyFont="1" applyFill="1" applyAlignment="1">
      <alignment horizontal="left"/>
    </xf>
    <xf numFmtId="0" fontId="4" fillId="0" borderId="0" xfId="399" applyNumberFormat="1" applyFont="1" applyFill="1" applyAlignment="1"/>
    <xf numFmtId="0" fontId="4" fillId="31" borderId="0" xfId="399" applyNumberFormat="1" applyFont="1" applyFill="1" applyAlignment="1"/>
    <xf numFmtId="0" fontId="85" fillId="0" borderId="0" xfId="0" applyFont="1"/>
    <xf numFmtId="0" fontId="88" fillId="30" borderId="0" xfId="1690" applyFont="1" applyFill="1"/>
    <xf numFmtId="3" fontId="86" fillId="30" borderId="0" xfId="0" quotePrefix="1" applyNumberFormat="1" applyFont="1" applyFill="1"/>
    <xf numFmtId="173" fontId="86" fillId="0" borderId="0" xfId="589" applyNumberFormat="1" applyFont="1" applyFill="1" applyBorder="1"/>
    <xf numFmtId="37" fontId="86" fillId="30" borderId="0" xfId="590" applyNumberFormat="1" applyFont="1" applyFill="1"/>
    <xf numFmtId="0" fontId="86" fillId="30" borderId="0" xfId="0" quotePrefix="1" applyFont="1" applyFill="1" applyAlignment="1">
      <alignment horizontal="left" wrapText="1"/>
    </xf>
    <xf numFmtId="43" fontId="142" fillId="0" borderId="0" xfId="421" applyBorder="1"/>
    <xf numFmtId="0" fontId="86" fillId="0" borderId="0" xfId="0" applyFont="1" applyFill="1"/>
    <xf numFmtId="0" fontId="9" fillId="0" borderId="0" xfId="0" quotePrefix="1" applyFont="1" applyFill="1" applyBorder="1" applyAlignment="1">
      <alignment horizontal="left" wrapText="1"/>
    </xf>
    <xf numFmtId="0" fontId="0" fillId="0" borderId="0" xfId="0" applyBorder="1"/>
    <xf numFmtId="37" fontId="0" fillId="0" borderId="0" xfId="0" applyNumberFormat="1" applyFill="1"/>
    <xf numFmtId="43" fontId="142" fillId="0" borderId="0" xfId="423" applyFill="1" applyBorder="1"/>
    <xf numFmtId="0" fontId="0" fillId="0" borderId="0" xfId="0" applyFill="1" applyBorder="1"/>
    <xf numFmtId="37" fontId="86" fillId="0" borderId="0" xfId="0" applyNumberFormat="1" applyFont="1" applyFill="1" applyAlignment="1">
      <alignment horizontal="center"/>
    </xf>
    <xf numFmtId="43" fontId="142" fillId="0" borderId="0" xfId="425" applyFill="1" applyBorder="1"/>
    <xf numFmtId="0" fontId="86" fillId="30" borderId="0" xfId="0" applyFont="1" applyFill="1" applyBorder="1" applyAlignment="1">
      <alignment horizontal="left"/>
    </xf>
    <xf numFmtId="170" fontId="16" fillId="30" borderId="0" xfId="1689" applyNumberFormat="1" applyFont="1" applyFill="1" applyBorder="1" applyAlignment="1" applyProtection="1">
      <protection locked="0"/>
    </xf>
    <xf numFmtId="170" fontId="16" fillId="30" borderId="16" xfId="1689" applyNumberFormat="1" applyFont="1" applyFill="1" applyBorder="1" applyAlignment="1" applyProtection="1">
      <protection locked="0"/>
    </xf>
    <xf numFmtId="0" fontId="6" fillId="0" borderId="0" xfId="1685" applyFont="1" applyFill="1" applyAlignment="1">
      <alignment horizontal="center"/>
    </xf>
    <xf numFmtId="0" fontId="12" fillId="0" borderId="0" xfId="1685" applyFont="1" applyFill="1"/>
    <xf numFmtId="9" fontId="6" fillId="0" borderId="0" xfId="1685" quotePrefix="1" applyNumberFormat="1" applyFont="1" applyFill="1" applyAlignment="1">
      <alignment horizontal="center"/>
    </xf>
    <xf numFmtId="0" fontId="14" fillId="0" borderId="0" xfId="1685" applyFont="1" applyFill="1" applyAlignment="1">
      <alignment horizontal="center"/>
    </xf>
    <xf numFmtId="9" fontId="6" fillId="0" borderId="0" xfId="1685" applyNumberFormat="1" applyFont="1" applyFill="1" applyAlignment="1">
      <alignment horizontal="center"/>
    </xf>
    <xf numFmtId="0" fontId="9" fillId="0" borderId="0" xfId="1685" applyFont="1" applyFill="1"/>
    <xf numFmtId="41" fontId="9" fillId="0" borderId="0" xfId="1685" applyNumberFormat="1" applyFont="1" applyFill="1"/>
    <xf numFmtId="0" fontId="12" fillId="0" borderId="0" xfId="1685" applyFont="1" applyFill="1" applyAlignment="1">
      <alignment horizontal="left"/>
    </xf>
    <xf numFmtId="0" fontId="6" fillId="0" borderId="0" xfId="1685" applyFont="1" applyFill="1" applyBorder="1" applyAlignment="1">
      <alignment horizontal="left"/>
    </xf>
    <xf numFmtId="0" fontId="6" fillId="0" borderId="0" xfId="1685" applyFont="1" applyFill="1" applyBorder="1"/>
    <xf numFmtId="0" fontId="5" fillId="0" borderId="0" xfId="1685" applyFont="1" applyFill="1" applyAlignment="1">
      <alignment horizontal="center"/>
    </xf>
    <xf numFmtId="0" fontId="4" fillId="0" borderId="0" xfId="1685" applyFont="1" applyFill="1"/>
    <xf numFmtId="41" fontId="4" fillId="0" borderId="0" xfId="1685" applyNumberFormat="1" applyFont="1" applyFill="1" applyBorder="1" applyAlignment="1">
      <alignment vertical="top"/>
    </xf>
    <xf numFmtId="0" fontId="4" fillId="0" borderId="0" xfId="1685" applyFont="1" applyFill="1" applyAlignment="1">
      <alignment horizontal="left"/>
    </xf>
    <xf numFmtId="0" fontId="4" fillId="0" borderId="0" xfId="1685" applyFont="1" applyFill="1" applyAlignment="1">
      <alignment horizontal="center"/>
    </xf>
    <xf numFmtId="0" fontId="7" fillId="0" borderId="0" xfId="1685" applyFont="1" applyFill="1" applyAlignment="1">
      <alignment horizontal="center"/>
    </xf>
    <xf numFmtId="0" fontId="4" fillId="0" borderId="0" xfId="1693" applyFont="1" applyFill="1"/>
    <xf numFmtId="43" fontId="4" fillId="0" borderId="0" xfId="1073" applyFont="1" applyFill="1"/>
    <xf numFmtId="10" fontId="4" fillId="0" borderId="0" xfId="1750" applyNumberFormat="1" applyFont="1" applyFill="1" applyAlignment="1" applyProtection="1">
      <protection locked="0"/>
    </xf>
    <xf numFmtId="0" fontId="15" fillId="0" borderId="0" xfId="1688" applyFont="1" applyFill="1" applyAlignment="1">
      <alignment horizontal="center"/>
    </xf>
    <xf numFmtId="0" fontId="15" fillId="0" borderId="0" xfId="1688" applyFont="1" applyFill="1" applyAlignment="1">
      <alignment horizontal="left" indent="2"/>
    </xf>
    <xf numFmtId="39" fontId="15" fillId="0" borderId="0" xfId="1688" applyNumberFormat="1" applyFont="1" applyFill="1"/>
    <xf numFmtId="0" fontId="11" fillId="0" borderId="0" xfId="1685" applyFont="1" applyFill="1"/>
    <xf numFmtId="0" fontId="63" fillId="0" borderId="0" xfId="1685" applyFont="1" applyFill="1"/>
    <xf numFmtId="9" fontId="7" fillId="0" borderId="0" xfId="1685" quotePrefix="1" applyNumberFormat="1" applyFont="1" applyFill="1" applyAlignment="1">
      <alignment horizontal="center"/>
    </xf>
    <xf numFmtId="10" fontId="12" fillId="0" borderId="0" xfId="1750" applyNumberFormat="1" applyFont="1" applyFill="1"/>
    <xf numFmtId="0" fontId="14" fillId="0" borderId="0" xfId="1685" applyFont="1" applyFill="1" applyAlignment="1">
      <alignment horizontal="left"/>
    </xf>
    <xf numFmtId="0" fontId="9" fillId="0" borderId="0" xfId="1685" applyFont="1" applyFill="1" applyAlignment="1">
      <alignment horizontal="center"/>
    </xf>
    <xf numFmtId="41" fontId="9" fillId="0" borderId="0" xfId="1685" applyNumberFormat="1" applyFont="1" applyFill="1" applyBorder="1"/>
    <xf numFmtId="41" fontId="9" fillId="0" borderId="16" xfId="1685" applyNumberFormat="1" applyFont="1" applyFill="1" applyBorder="1"/>
    <xf numFmtId="41" fontId="9" fillId="0" borderId="16" xfId="1685" applyNumberFormat="1" applyFont="1" applyFill="1" applyBorder="1" applyAlignment="1">
      <alignment vertical="top"/>
    </xf>
    <xf numFmtId="0" fontId="6" fillId="0" borderId="0" xfId="1685" applyFont="1" applyFill="1" applyBorder="1" applyAlignment="1">
      <alignment vertical="center"/>
    </xf>
    <xf numFmtId="37" fontId="9" fillId="0" borderId="0" xfId="1685" applyNumberFormat="1" applyFont="1" applyFill="1" applyAlignment="1">
      <alignment vertical="center"/>
    </xf>
    <xf numFmtId="175" fontId="10" fillId="0" borderId="0" xfId="1685" applyNumberFormat="1" applyFont="1" applyFill="1" applyAlignment="1">
      <alignment vertical="center"/>
    </xf>
    <xf numFmtId="37" fontId="9" fillId="0" borderId="0" xfId="1685" applyNumberFormat="1" applyFont="1" applyFill="1"/>
    <xf numFmtId="37" fontId="6" fillId="0" borderId="17" xfId="1685" applyNumberFormat="1" applyFont="1" applyFill="1" applyBorder="1"/>
    <xf numFmtId="37" fontId="9" fillId="0" borderId="0" xfId="1685" applyNumberFormat="1" applyFont="1" applyFill="1" applyBorder="1"/>
    <xf numFmtId="0" fontId="9" fillId="0" borderId="0" xfId="1685" applyFont="1" applyFill="1" applyAlignment="1">
      <alignment horizontal="center" vertical="top"/>
    </xf>
    <xf numFmtId="41" fontId="9" fillId="0" borderId="17" xfId="1685" applyNumberFormat="1" applyFont="1" applyFill="1" applyBorder="1"/>
    <xf numFmtId="175" fontId="10" fillId="0" borderId="0" xfId="1685" applyNumberFormat="1" applyFont="1" applyFill="1" applyAlignment="1">
      <alignment horizontal="center" vertical="center"/>
    </xf>
    <xf numFmtId="10" fontId="4" fillId="0" borderId="21" xfId="1750" applyNumberFormat="1" applyFont="1" applyFill="1" applyBorder="1" applyAlignment="1" applyProtection="1">
      <alignment horizontal="right"/>
      <protection locked="0"/>
    </xf>
    <xf numFmtId="0" fontId="65" fillId="0" borderId="0" xfId="1685" applyFont="1" applyFill="1" applyAlignment="1">
      <alignment horizontal="left"/>
    </xf>
    <xf numFmtId="0" fontId="66" fillId="0" borderId="0" xfId="1685" applyFont="1" applyFill="1"/>
    <xf numFmtId="0" fontId="6" fillId="0" borderId="0" xfId="1685" applyFont="1" applyFill="1"/>
    <xf numFmtId="0" fontId="6" fillId="0" borderId="0" xfId="1685" applyFont="1" applyFill="1" applyAlignment="1">
      <alignment horizontal="left"/>
    </xf>
    <xf numFmtId="10" fontId="6" fillId="0" borderId="0" xfId="1750" applyNumberFormat="1" applyFont="1" applyFill="1" applyBorder="1"/>
    <xf numFmtId="10" fontId="6" fillId="0" borderId="20" xfId="1750" applyNumberFormat="1" applyFont="1" applyFill="1" applyBorder="1"/>
    <xf numFmtId="0" fontId="66" fillId="0" borderId="0" xfId="1685" applyFont="1" applyFill="1" applyAlignment="1">
      <alignment horizontal="left"/>
    </xf>
    <xf numFmtId="0" fontId="14" fillId="0" borderId="0" xfId="1685" applyFont="1" applyFill="1" applyAlignment="1">
      <alignment horizontal="center" wrapText="1"/>
    </xf>
    <xf numFmtId="41" fontId="67" fillId="0" borderId="0" xfId="1685" applyNumberFormat="1" applyFont="1" applyFill="1"/>
    <xf numFmtId="41" fontId="6" fillId="0" borderId="23" xfId="1685" applyNumberFormat="1" applyFont="1" applyFill="1" applyBorder="1"/>
    <xf numFmtId="10" fontId="9" fillId="0" borderId="0" xfId="1750" applyNumberFormat="1" applyFont="1" applyFill="1" applyBorder="1"/>
    <xf numFmtId="0" fontId="68" fillId="0" borderId="0" xfId="1693" applyFont="1" applyFill="1"/>
    <xf numFmtId="0" fontId="8" fillId="0" borderId="0" xfId="1693" applyFont="1" applyFill="1"/>
    <xf numFmtId="0" fontId="9" fillId="0" borderId="0" xfId="1693" applyFont="1" applyFill="1"/>
    <xf numFmtId="43" fontId="9" fillId="0" borderId="0" xfId="1073" applyFont="1" applyFill="1"/>
    <xf numFmtId="0" fontId="69" fillId="0" borderId="0" xfId="1693" applyFont="1" applyFill="1"/>
    <xf numFmtId="0" fontId="61" fillId="0" borderId="0" xfId="1693" applyFont="1" applyFill="1" applyAlignment="1"/>
    <xf numFmtId="0" fontId="5" fillId="0" borderId="0" xfId="1693" quotePrefix="1" applyFont="1" applyFill="1" applyAlignment="1">
      <alignment horizontal="left"/>
    </xf>
    <xf numFmtId="0" fontId="6" fillId="0" borderId="0" xfId="1693" applyFont="1" applyFill="1"/>
    <xf numFmtId="0" fontId="6" fillId="0" borderId="0" xfId="1693" applyFont="1" applyFill="1" applyAlignment="1">
      <alignment horizontal="left"/>
    </xf>
    <xf numFmtId="0" fontId="5" fillId="0" borderId="0" xfId="1679" applyFont="1" applyFill="1"/>
    <xf numFmtId="0" fontId="72" fillId="0" borderId="0" xfId="1693" applyFont="1" applyFill="1" applyAlignment="1"/>
    <xf numFmtId="170" fontId="4" fillId="0" borderId="21" xfId="1693" applyNumberFormat="1" applyFont="1" applyFill="1" applyBorder="1"/>
    <xf numFmtId="170" fontId="2" fillId="0" borderId="22" xfId="1693" applyNumberFormat="1" applyFont="1" applyFill="1" applyBorder="1" applyAlignment="1">
      <alignment horizontal="right"/>
    </xf>
    <xf numFmtId="0" fontId="6" fillId="0" borderId="0" xfId="1693" applyFont="1" applyFill="1" applyBorder="1" applyAlignment="1">
      <alignment horizontal="center"/>
    </xf>
    <xf numFmtId="0" fontId="9" fillId="0" borderId="0" xfId="1693" applyFont="1" applyFill="1" applyBorder="1"/>
    <xf numFmtId="173" fontId="12" fillId="0" borderId="0" xfId="1685" applyNumberFormat="1" applyFont="1" applyFill="1"/>
    <xf numFmtId="9" fontId="9" fillId="0" borderId="0" xfId="1750" applyFont="1" applyFill="1" applyBorder="1"/>
    <xf numFmtId="0" fontId="76" fillId="0" borderId="0" xfId="1685" applyFont="1" applyFill="1" applyAlignment="1">
      <alignment horizontal="center"/>
    </xf>
    <xf numFmtId="0" fontId="9" fillId="0" borderId="0" xfId="1685" applyFont="1" applyFill="1" applyAlignment="1">
      <alignment horizontal="left"/>
    </xf>
    <xf numFmtId="0" fontId="77" fillId="0" borderId="0" xfId="1685" applyFont="1" applyFill="1" applyAlignment="1">
      <alignment horizontal="center"/>
    </xf>
    <xf numFmtId="0" fontId="78" fillId="0" borderId="0" xfId="1685" applyFont="1" applyFill="1" applyBorder="1"/>
    <xf numFmtId="0" fontId="5" fillId="0" borderId="0" xfId="1685" applyFont="1" applyFill="1" applyBorder="1"/>
    <xf numFmtId="37" fontId="80" fillId="0" borderId="0" xfId="1685" applyNumberFormat="1" applyFont="1" applyFill="1" applyAlignment="1">
      <alignment horizontal="center"/>
    </xf>
    <xf numFmtId="0" fontId="10" fillId="0" borderId="0" xfId="1685" applyFont="1" applyFill="1" applyAlignment="1">
      <alignment horizontal="center"/>
    </xf>
    <xf numFmtId="0" fontId="9" fillId="0" borderId="0" xfId="1685" applyFont="1" applyFill="1" applyAlignment="1"/>
    <xf numFmtId="0" fontId="90" fillId="0" borderId="0" xfId="1685" applyFont="1" applyFill="1"/>
    <xf numFmtId="174" fontId="86" fillId="0" borderId="47" xfId="0" applyNumberFormat="1" applyFont="1" applyBorder="1"/>
    <xf numFmtId="0" fontId="12" fillId="0" borderId="0" xfId="1685" quotePrefix="1" applyFont="1" applyFill="1" applyAlignment="1">
      <alignment horizontal="left"/>
    </xf>
    <xf numFmtId="37" fontId="6" fillId="0" borderId="0" xfId="1685" quotePrefix="1" applyNumberFormat="1" applyFont="1" applyFill="1" applyBorder="1" applyAlignment="1">
      <alignment horizontal="left"/>
    </xf>
    <xf numFmtId="0" fontId="86" fillId="0" borderId="39" xfId="0" quotePrefix="1" applyFont="1" applyFill="1" applyBorder="1" applyAlignment="1">
      <alignment horizontal="right"/>
    </xf>
    <xf numFmtId="0" fontId="3" fillId="0" borderId="0" xfId="1685" applyFont="1" applyFill="1" applyAlignment="1">
      <alignment horizontal="left"/>
    </xf>
    <xf numFmtId="37" fontId="81" fillId="0" borderId="0" xfId="1685" applyNumberFormat="1" applyFont="1" applyFill="1"/>
    <xf numFmtId="0" fontId="4" fillId="0" borderId="0" xfId="1685" applyFont="1" applyFill="1" applyAlignment="1">
      <alignment horizontal="center" vertical="center"/>
    </xf>
    <xf numFmtId="192" fontId="12" fillId="0" borderId="0" xfId="1685" applyNumberFormat="1" applyFont="1" applyFill="1"/>
    <xf numFmtId="0" fontId="13" fillId="0" borderId="0" xfId="1685" applyFont="1" applyFill="1" applyAlignment="1">
      <alignment horizontal="center"/>
    </xf>
    <xf numFmtId="37" fontId="4" fillId="0" borderId="0" xfId="1685" applyNumberFormat="1" applyFont="1" applyFill="1" applyBorder="1" applyAlignment="1">
      <alignment vertical="top"/>
    </xf>
    <xf numFmtId="0" fontId="13" fillId="0" borderId="0" xfId="1685" quotePrefix="1" applyFont="1" applyFill="1" applyAlignment="1">
      <alignment horizontal="left"/>
    </xf>
    <xf numFmtId="1" fontId="86" fillId="30" borderId="0" xfId="0" applyNumberFormat="1" applyFont="1" applyFill="1" applyAlignment="1">
      <alignment horizontal="left"/>
    </xf>
    <xf numFmtId="173" fontId="86" fillId="30" borderId="0" xfId="589" applyNumberFormat="1" applyFont="1" applyFill="1" applyAlignment="1">
      <alignment horizontal="left"/>
    </xf>
    <xf numFmtId="173" fontId="86" fillId="30" borderId="0" xfId="589" applyNumberFormat="1" applyFont="1" applyFill="1"/>
    <xf numFmtId="38" fontId="12" fillId="0" borderId="0" xfId="1685" applyNumberFormat="1" applyFont="1" applyFill="1"/>
    <xf numFmtId="3" fontId="12" fillId="0" borderId="0" xfId="1685" applyNumberFormat="1" applyFont="1" applyFill="1"/>
    <xf numFmtId="3" fontId="86" fillId="30" borderId="0" xfId="0" applyNumberFormat="1" applyFont="1" applyFill="1" applyAlignment="1">
      <alignment horizontal="left"/>
    </xf>
    <xf numFmtId="3" fontId="86" fillId="30" borderId="0" xfId="0" quotePrefix="1" applyNumberFormat="1" applyFont="1" applyFill="1" applyAlignment="1">
      <alignment horizontal="left"/>
    </xf>
    <xf numFmtId="43" fontId="9" fillId="0" borderId="0" xfId="664" applyBorder="1"/>
    <xf numFmtId="37" fontId="9" fillId="0" borderId="0" xfId="664" applyNumberFormat="1" applyFill="1"/>
    <xf numFmtId="37" fontId="9" fillId="0" borderId="0" xfId="664" applyNumberFormat="1"/>
    <xf numFmtId="37" fontId="86" fillId="30" borderId="0" xfId="664" applyNumberFormat="1" applyFont="1" applyFill="1"/>
    <xf numFmtId="173" fontId="86" fillId="0" borderId="46" xfId="0" applyNumberFormat="1" applyFont="1" applyBorder="1"/>
    <xf numFmtId="173" fontId="86" fillId="0" borderId="35" xfId="0" applyNumberFormat="1" applyFont="1" applyBorder="1"/>
    <xf numFmtId="1" fontId="6" fillId="0" borderId="55" xfId="1475" applyNumberFormat="1" applyFont="1" applyFill="1" applyBorder="1" applyAlignment="1">
      <alignment horizontal="center"/>
    </xf>
    <xf numFmtId="9" fontId="9" fillId="30" borderId="0" xfId="1724" applyFont="1" applyFill="1" applyAlignment="1">
      <alignment horizontal="right"/>
    </xf>
    <xf numFmtId="187" fontId="9" fillId="30" borderId="0" xfId="1724" applyNumberFormat="1" applyFont="1" applyFill="1" applyBorder="1"/>
    <xf numFmtId="41" fontId="9" fillId="0" borderId="2" xfId="0" applyNumberFormat="1" applyFont="1" applyFill="1" applyBorder="1"/>
    <xf numFmtId="173" fontId="9" fillId="0" borderId="16" xfId="399" applyNumberFormat="1" applyFont="1" applyFill="1" applyBorder="1"/>
    <xf numFmtId="173" fontId="9" fillId="0" borderId="0" xfId="1426" applyNumberFormat="1"/>
    <xf numFmtId="198" fontId="9" fillId="0" borderId="0" xfId="386" applyNumberFormat="1" applyAlignment="1">
      <alignment vertical="center"/>
    </xf>
    <xf numFmtId="0" fontId="9" fillId="0" borderId="0" xfId="1426" applyAlignment="1"/>
    <xf numFmtId="0" fontId="6" fillId="0" borderId="16" xfId="1426" quotePrefix="1" applyFont="1" applyBorder="1" applyAlignment="1">
      <alignment horizontal="centerContinuous"/>
    </xf>
    <xf numFmtId="3" fontId="3" fillId="0" borderId="0" xfId="1426" quotePrefix="1" applyNumberFormat="1" applyFont="1" applyAlignment="1">
      <alignment horizontal="center"/>
    </xf>
    <xf numFmtId="174" fontId="0" fillId="0" borderId="0" xfId="1082" applyNumberFormat="1" applyFont="1"/>
    <xf numFmtId="0" fontId="9" fillId="0" borderId="0" xfId="1426" quotePrefix="1" applyAlignment="1">
      <alignment horizontal="left"/>
    </xf>
    <xf numFmtId="0" fontId="9" fillId="0" borderId="0" xfId="1426" applyFont="1"/>
    <xf numFmtId="0" fontId="9" fillId="0" borderId="56" xfId="1426" applyBorder="1"/>
    <xf numFmtId="173" fontId="9" fillId="0" borderId="16" xfId="386" applyNumberFormat="1" applyBorder="1"/>
    <xf numFmtId="0" fontId="9" fillId="0" borderId="16" xfId="1426" applyBorder="1"/>
    <xf numFmtId="0" fontId="9" fillId="0" borderId="57" xfId="1426" applyBorder="1"/>
    <xf numFmtId="0" fontId="9" fillId="0" borderId="58" xfId="1426" applyBorder="1" applyAlignment="1">
      <alignment horizontal="center"/>
    </xf>
    <xf numFmtId="0" fontId="9" fillId="0" borderId="0" xfId="1426" applyBorder="1" applyAlignment="1">
      <alignment horizontal="center"/>
    </xf>
    <xf numFmtId="0" fontId="9" fillId="0" borderId="59" xfId="1426" applyBorder="1"/>
    <xf numFmtId="0" fontId="9" fillId="0" borderId="60" xfId="1426" applyBorder="1"/>
    <xf numFmtId="173" fontId="9" fillId="0" borderId="2" xfId="386" applyNumberFormat="1" applyBorder="1"/>
    <xf numFmtId="0" fontId="9" fillId="0" borderId="2" xfId="1426" applyBorder="1"/>
    <xf numFmtId="0" fontId="9" fillId="0" borderId="61" xfId="1426" applyBorder="1"/>
    <xf numFmtId="199" fontId="9" fillId="0" borderId="0" xfId="386" applyNumberFormat="1"/>
    <xf numFmtId="43" fontId="9" fillId="0" borderId="0" xfId="386"/>
    <xf numFmtId="164" fontId="9" fillId="0" borderId="0" xfId="1426" applyNumberFormat="1" applyFont="1" applyFill="1"/>
    <xf numFmtId="173" fontId="9" fillId="0" borderId="0" xfId="386" applyNumberFormat="1"/>
    <xf numFmtId="173" fontId="86" fillId="30" borderId="0" xfId="1426" applyNumberFormat="1" applyFont="1" applyFill="1" applyAlignment="1">
      <alignment vertical="center"/>
    </xf>
    <xf numFmtId="173" fontId="0" fillId="0" borderId="0" xfId="386" applyNumberFormat="1" applyFont="1"/>
    <xf numFmtId="13" fontId="26" fillId="0" borderId="0" xfId="1426" applyNumberFormat="1" applyFont="1" applyAlignment="1">
      <alignment horizontal="center" vertical="center"/>
    </xf>
    <xf numFmtId="0" fontId="9" fillId="0" borderId="0" xfId="1426" quotePrefix="1" applyAlignment="1">
      <alignment horizontal="left" vertical="center"/>
    </xf>
    <xf numFmtId="173" fontId="9" fillId="0" borderId="47" xfId="1426" applyNumberFormat="1" applyBorder="1"/>
    <xf numFmtId="43" fontId="9" fillId="0" borderId="0" xfId="386" applyAlignment="1">
      <alignment vertical="center"/>
    </xf>
    <xf numFmtId="43" fontId="147" fillId="0" borderId="0" xfId="386" applyFont="1" applyAlignment="1">
      <alignment vertical="center"/>
    </xf>
    <xf numFmtId="173" fontId="148" fillId="0" borderId="0" xfId="386" applyNumberFormat="1" applyFont="1" applyAlignment="1">
      <alignment horizontal="center" vertical="center"/>
    </xf>
    <xf numFmtId="43" fontId="148" fillId="0" borderId="0" xfId="386" applyFont="1" applyAlignment="1">
      <alignment horizontal="left" vertical="center"/>
    </xf>
    <xf numFmtId="43" fontId="125" fillId="0" borderId="0" xfId="386" applyFont="1" applyAlignment="1">
      <alignment horizontal="center" vertical="center"/>
    </xf>
    <xf numFmtId="173" fontId="85" fillId="0" borderId="0" xfId="386" applyNumberFormat="1" applyFont="1" applyAlignment="1">
      <alignment horizontal="center" vertical="center"/>
    </xf>
    <xf numFmtId="0" fontId="9" fillId="0" borderId="0" xfId="1426" applyFont="1" applyAlignment="1">
      <alignment vertical="center"/>
    </xf>
    <xf numFmtId="0" fontId="86" fillId="0" borderId="0" xfId="1426" quotePrefix="1" applyFont="1" applyAlignment="1">
      <alignment horizontal="left"/>
    </xf>
    <xf numFmtId="0" fontId="9" fillId="0" borderId="0" xfId="1426" applyBorder="1"/>
    <xf numFmtId="0" fontId="9" fillId="0" borderId="0" xfId="1426" quotePrefix="1" applyFont="1" applyAlignment="1">
      <alignment horizontal="center" vertical="center"/>
    </xf>
    <xf numFmtId="173" fontId="9" fillId="0" borderId="0" xfId="386" applyNumberFormat="1" applyAlignment="1">
      <alignment vertical="center"/>
    </xf>
    <xf numFmtId="173" fontId="86" fillId="30" borderId="0" xfId="386" applyNumberFormat="1" applyFont="1" applyFill="1" applyAlignment="1">
      <alignment vertical="center"/>
    </xf>
    <xf numFmtId="0" fontId="9" fillId="0" borderId="35" xfId="1426" applyBorder="1"/>
    <xf numFmtId="0" fontId="6" fillId="0" borderId="0" xfId="1426" applyFont="1"/>
    <xf numFmtId="0" fontId="9" fillId="0" borderId="62" xfId="1426" applyBorder="1" applyAlignment="1">
      <alignment wrapText="1"/>
    </xf>
    <xf numFmtId="0" fontId="14" fillId="0" borderId="0" xfId="1426" applyFont="1" applyFill="1" applyBorder="1" applyAlignment="1">
      <alignment horizontal="center"/>
    </xf>
    <xf numFmtId="0" fontId="14" fillId="0" borderId="0" xfId="1426" applyFont="1" applyFill="1" applyBorder="1" applyAlignment="1">
      <alignment horizontal="center" wrapText="1"/>
    </xf>
    <xf numFmtId="0" fontId="14" fillId="0" borderId="0" xfId="1426" quotePrefix="1" applyFont="1" applyFill="1" applyBorder="1" applyAlignment="1">
      <alignment horizontal="center" wrapText="1"/>
    </xf>
    <xf numFmtId="0" fontId="14" fillId="0" borderId="0" xfId="1426" applyFont="1" applyBorder="1" applyAlignment="1">
      <alignment horizontal="center"/>
    </xf>
    <xf numFmtId="0" fontId="14" fillId="0" borderId="0" xfId="1426" quotePrefix="1" applyFont="1" applyBorder="1" applyAlignment="1">
      <alignment horizontal="center" wrapText="1"/>
    </xf>
    <xf numFmtId="0" fontId="14" fillId="0" borderId="0" xfId="1426" applyFont="1" applyBorder="1" applyAlignment="1">
      <alignment horizontal="center" wrapText="1"/>
    </xf>
    <xf numFmtId="0" fontId="14" fillId="0" borderId="0" xfId="1426" applyFont="1" applyAlignment="1">
      <alignment horizontal="center"/>
    </xf>
    <xf numFmtId="0" fontId="14" fillId="0" borderId="0" xfId="1426" applyFont="1" applyAlignment="1">
      <alignment horizontal="center" wrapText="1"/>
    </xf>
    <xf numFmtId="0" fontId="145" fillId="0" borderId="0" xfId="1426" applyFont="1" applyFill="1"/>
    <xf numFmtId="0" fontId="14" fillId="0" borderId="16" xfId="1426" applyFont="1" applyBorder="1" applyAlignment="1">
      <alignment horizontal="centerContinuous"/>
    </xf>
    <xf numFmtId="0" fontId="14" fillId="0" borderId="0" xfId="1426" quotePrefix="1" applyFont="1" applyBorder="1" applyAlignment="1">
      <alignment horizontal="centerContinuous"/>
    </xf>
    <xf numFmtId="0" fontId="14" fillId="0" borderId="16" xfId="1426" quotePrefix="1" applyFont="1" applyBorder="1" applyAlignment="1">
      <alignment horizontal="centerContinuous"/>
    </xf>
    <xf numFmtId="0" fontId="6" fillId="0" borderId="0" xfId="1426" applyFont="1" applyBorder="1" applyAlignment="1">
      <alignment horizontal="center"/>
    </xf>
    <xf numFmtId="0" fontId="125" fillId="0" borderId="0" xfId="1426" quotePrefix="1" applyFont="1" applyAlignment="1">
      <alignment horizontal="left"/>
    </xf>
    <xf numFmtId="0" fontId="6" fillId="0" borderId="16" xfId="1426" applyFont="1" applyBorder="1" applyAlignment="1">
      <alignment horizontal="left"/>
    </xf>
    <xf numFmtId="0" fontId="6" fillId="0" borderId="16" xfId="1426" applyFont="1" applyBorder="1" applyAlignment="1">
      <alignment horizontal="centerContinuous"/>
    </xf>
    <xf numFmtId="0" fontId="9" fillId="0" borderId="0" xfId="1426" applyAlignment="1">
      <alignment horizontal="center"/>
    </xf>
    <xf numFmtId="0" fontId="9" fillId="0" borderId="0" xfId="1426" applyAlignment="1">
      <alignment vertical="center"/>
    </xf>
    <xf numFmtId="0" fontId="9" fillId="0" borderId="0" xfId="1426" quotePrefix="1" applyAlignment="1">
      <alignment horizontal="center" vertical="center"/>
    </xf>
    <xf numFmtId="0" fontId="9" fillId="0" borderId="0" xfId="1426" applyFont="1" applyAlignment="1">
      <alignment horizontal="center" vertical="center"/>
    </xf>
    <xf numFmtId="0" fontId="9" fillId="0" borderId="0" xfId="1426" applyAlignment="1">
      <alignment horizontal="center" vertical="center"/>
    </xf>
    <xf numFmtId="0" fontId="9" fillId="0" borderId="0" xfId="1426" applyFill="1"/>
    <xf numFmtId="3" fontId="3" fillId="0" borderId="0" xfId="1426" applyNumberFormat="1" applyFont="1" applyAlignment="1">
      <alignment horizontal="center"/>
    </xf>
    <xf numFmtId="0" fontId="4" fillId="0" borderId="0" xfId="1426" applyNumberFormat="1" applyFont="1" applyFill="1" applyAlignment="1">
      <alignment horizontal="center"/>
    </xf>
    <xf numFmtId="3" fontId="4" fillId="0" borderId="0" xfId="1426" quotePrefix="1" applyNumberFormat="1" applyFont="1" applyFill="1" applyAlignment="1">
      <alignment horizontal="center"/>
    </xf>
    <xf numFmtId="0" fontId="4" fillId="0" borderId="0" xfId="1426" applyNumberFormat="1" applyFont="1" applyAlignment="1">
      <alignment horizontal="center"/>
    </xf>
    <xf numFmtId="0" fontId="9" fillId="0" borderId="0" xfId="1426"/>
    <xf numFmtId="49" fontId="144" fillId="0" borderId="0" xfId="1689" applyNumberFormat="1" applyFont="1" applyFill="1" applyBorder="1" applyAlignment="1" applyProtection="1">
      <alignment horizontal="center"/>
      <protection locked="0"/>
    </xf>
    <xf numFmtId="43" fontId="9" fillId="30" borderId="27" xfId="381" applyFont="1" applyFill="1" applyBorder="1" applyAlignment="1">
      <alignment horizontal="right"/>
    </xf>
    <xf numFmtId="173" fontId="9" fillId="0" borderId="27" xfId="386" applyNumberFormat="1" applyFont="1" applyBorder="1"/>
    <xf numFmtId="173" fontId="9" fillId="0" borderId="46" xfId="386" applyNumberFormat="1" applyFont="1" applyBorder="1"/>
    <xf numFmtId="173" fontId="86" fillId="0" borderId="46" xfId="914" applyNumberFormat="1" applyFont="1" applyBorder="1"/>
    <xf numFmtId="173" fontId="86" fillId="0" borderId="35" xfId="914" applyNumberFormat="1" applyFont="1" applyBorder="1"/>
    <xf numFmtId="173" fontId="86" fillId="0" borderId="47" xfId="914" applyNumberFormat="1" applyFont="1" applyBorder="1"/>
    <xf numFmtId="173" fontId="9" fillId="0" borderId="35" xfId="386" applyNumberFormat="1" applyBorder="1"/>
    <xf numFmtId="49" fontId="144" fillId="0" borderId="0" xfId="1689" applyNumberFormat="1" applyFont="1" applyFill="1" applyAlignment="1" applyProtection="1">
      <alignment horizontal="center"/>
      <protection locked="0"/>
    </xf>
    <xf numFmtId="174" fontId="86" fillId="0" borderId="35" xfId="0" applyNumberFormat="1" applyFont="1" applyBorder="1"/>
    <xf numFmtId="0" fontId="0" fillId="0" borderId="0" xfId="0" applyAlignment="1"/>
    <xf numFmtId="0" fontId="0" fillId="0" borderId="0" xfId="0" applyAlignment="1">
      <alignment horizontal="center" vertical="center"/>
    </xf>
    <xf numFmtId="0" fontId="9" fillId="0" borderId="0" xfId="0" applyFont="1" applyFill="1" applyAlignment="1">
      <alignment horizontal="center" vertical="center"/>
    </xf>
    <xf numFmtId="0" fontId="0" fillId="0" borderId="0" xfId="0" applyAlignment="1">
      <alignment vertical="center"/>
    </xf>
    <xf numFmtId="0" fontId="0" fillId="0" borderId="0" xfId="0" applyFill="1" applyAlignment="1">
      <alignment vertical="center" wrapText="1"/>
    </xf>
    <xf numFmtId="0" fontId="0" fillId="0" borderId="0" xfId="0" quotePrefix="1" applyAlignment="1">
      <alignment horizontal="center" vertical="center"/>
    </xf>
    <xf numFmtId="0" fontId="0" fillId="0" borderId="0" xfId="0" applyFill="1" applyAlignment="1">
      <alignment vertical="center"/>
    </xf>
    <xf numFmtId="0" fontId="0" fillId="0" borderId="52" xfId="0" applyBorder="1"/>
    <xf numFmtId="173" fontId="6" fillId="0" borderId="35" xfId="0" applyNumberFormat="1" applyFont="1" applyBorder="1"/>
    <xf numFmtId="173" fontId="0" fillId="0" borderId="35" xfId="0" applyNumberFormat="1" applyBorder="1" applyAlignment="1">
      <alignment vertical="center"/>
    </xf>
    <xf numFmtId="0" fontId="9" fillId="0" borderId="0" xfId="0" quotePrefix="1" applyFont="1" applyAlignment="1">
      <alignment horizontal="center" vertical="center"/>
    </xf>
    <xf numFmtId="43" fontId="143" fillId="0" borderId="0" xfId="523" applyBorder="1"/>
    <xf numFmtId="0" fontId="86" fillId="30" borderId="0" xfId="1426" applyFont="1" applyFill="1" applyBorder="1"/>
    <xf numFmtId="0" fontId="86" fillId="0" borderId="0" xfId="1426" applyFont="1" applyFill="1"/>
    <xf numFmtId="0" fontId="86" fillId="30" borderId="0" xfId="1426" applyFont="1" applyFill="1"/>
    <xf numFmtId="43" fontId="9" fillId="0" borderId="0" xfId="528" applyFill="1" applyBorder="1"/>
    <xf numFmtId="37" fontId="86" fillId="30" borderId="0" xfId="1426" applyNumberFormat="1" applyFont="1" applyFill="1" applyAlignment="1">
      <alignment horizontal="center"/>
    </xf>
    <xf numFmtId="37" fontId="86" fillId="30" borderId="0" xfId="1426" applyNumberFormat="1" applyFont="1" applyFill="1"/>
    <xf numFmtId="43" fontId="9" fillId="0" borderId="0" xfId="531" applyFill="1" applyBorder="1"/>
    <xf numFmtId="43" fontId="9" fillId="0" borderId="0" xfId="532" applyFill="1" applyBorder="1"/>
    <xf numFmtId="43" fontId="9" fillId="0" borderId="0" xfId="535" applyFill="1" applyBorder="1"/>
    <xf numFmtId="43" fontId="9" fillId="0" borderId="0" xfId="536" applyFill="1" applyBorder="1"/>
    <xf numFmtId="43" fontId="9" fillId="0" borderId="0" xfId="540" applyFill="1" applyBorder="1"/>
    <xf numFmtId="43" fontId="9" fillId="0" borderId="0" xfId="544" applyFill="1" applyBorder="1"/>
    <xf numFmtId="0" fontId="86" fillId="30" borderId="0" xfId="1426" applyFont="1" applyFill="1" applyBorder="1" applyAlignment="1">
      <alignment horizontal="left"/>
    </xf>
    <xf numFmtId="173" fontId="86" fillId="30" borderId="0" xfId="409" applyNumberFormat="1" applyFont="1" applyFill="1" applyBorder="1"/>
    <xf numFmtId="10" fontId="175" fillId="0" borderId="0" xfId="1724" applyNumberFormat="1" applyFont="1"/>
    <xf numFmtId="173" fontId="86" fillId="30" borderId="0" xfId="1426" applyNumberFormat="1" applyFont="1" applyFill="1" applyBorder="1"/>
    <xf numFmtId="43" fontId="9" fillId="0" borderId="0" xfId="553" applyBorder="1"/>
    <xf numFmtId="43" fontId="86" fillId="30" borderId="0" xfId="1426" applyNumberFormat="1" applyFont="1" applyFill="1" applyBorder="1"/>
    <xf numFmtId="3" fontId="116" fillId="0" borderId="0" xfId="1426" applyNumberFormat="1" applyFont="1" applyAlignment="1">
      <alignment wrapText="1"/>
    </xf>
    <xf numFmtId="0" fontId="0" fillId="0" borderId="0" xfId="0" applyAlignment="1">
      <alignment vertical="center" wrapText="1"/>
    </xf>
    <xf numFmtId="0" fontId="0" fillId="0" borderId="0" xfId="0" applyFill="1" applyBorder="1" applyAlignment="1">
      <alignment vertical="center"/>
    </xf>
    <xf numFmtId="173" fontId="0" fillId="0" borderId="0" xfId="0" applyNumberFormat="1" applyBorder="1" applyAlignment="1">
      <alignment vertical="center"/>
    </xf>
    <xf numFmtId="0" fontId="0" fillId="0" borderId="35" xfId="0" applyBorder="1"/>
    <xf numFmtId="0" fontId="6" fillId="0" borderId="0" xfId="0" applyFont="1" applyAlignment="1">
      <alignment horizontal="center" vertical="center"/>
    </xf>
    <xf numFmtId="0" fontId="86" fillId="0" borderId="0" xfId="0" quotePrefix="1" applyFont="1" applyAlignment="1">
      <alignment horizontal="left"/>
    </xf>
    <xf numFmtId="173" fontId="0" fillId="0" borderId="0" xfId="0" applyNumberFormat="1"/>
    <xf numFmtId="0" fontId="9" fillId="33" borderId="0" xfId="0" applyFont="1" applyFill="1"/>
    <xf numFmtId="41" fontId="86" fillId="30" borderId="0" xfId="1686" applyNumberFormat="1" applyFont="1" applyFill="1" applyBorder="1"/>
    <xf numFmtId="1" fontId="17" fillId="0" borderId="0" xfId="0" applyNumberFormat="1" applyFont="1"/>
    <xf numFmtId="1" fontId="17" fillId="0" borderId="0" xfId="0" applyNumberFormat="1" applyFont="1" applyFill="1"/>
    <xf numFmtId="173" fontId="5" fillId="0" borderId="0" xfId="589" applyNumberFormat="1" applyFont="1" applyFill="1" applyAlignment="1"/>
    <xf numFmtId="43" fontId="4" fillId="0" borderId="0" xfId="589" applyNumberFormat="1" applyFont="1" applyFill="1" applyAlignment="1" applyProtection="1">
      <protection locked="0"/>
    </xf>
    <xf numFmtId="43" fontId="4" fillId="0" borderId="0" xfId="1689" applyNumberFormat="1" applyFont="1" applyFill="1" applyAlignment="1" applyProtection="1">
      <protection locked="0"/>
    </xf>
    <xf numFmtId="43" fontId="4" fillId="0" borderId="0" xfId="589" applyNumberFormat="1" applyFont="1" applyFill="1" applyAlignment="1"/>
    <xf numFmtId="173" fontId="179" fillId="0" borderId="0" xfId="457" applyNumberFormat="1" applyFont="1" applyFill="1" applyAlignment="1">
      <alignment vertical="center"/>
    </xf>
    <xf numFmtId="173" fontId="179" fillId="0" borderId="0" xfId="457" applyNumberFormat="1" applyFill="1" applyAlignment="1">
      <alignment vertical="center"/>
    </xf>
    <xf numFmtId="173" fontId="86" fillId="65" borderId="0" xfId="457" applyNumberFormat="1" applyFont="1" applyFill="1" applyAlignment="1">
      <alignment vertical="center"/>
    </xf>
    <xf numFmtId="173" fontId="179" fillId="0" borderId="0" xfId="457" applyNumberFormat="1" applyAlignment="1">
      <alignment vertical="center"/>
    </xf>
    <xf numFmtId="173" fontId="6" fillId="0" borderId="0" xfId="457" applyNumberFormat="1" applyFont="1" applyAlignment="1">
      <alignment horizontal="center" vertical="center"/>
    </xf>
    <xf numFmtId="173" fontId="6" fillId="0" borderId="0" xfId="457" applyNumberFormat="1" applyFont="1" applyAlignment="1">
      <alignment vertical="center"/>
    </xf>
    <xf numFmtId="173" fontId="179" fillId="0" borderId="0" xfId="457" applyNumberFormat="1" applyFont="1" applyAlignment="1">
      <alignment horizontal="center" vertical="center"/>
    </xf>
    <xf numFmtId="173" fontId="179" fillId="0" borderId="0" xfId="457" applyNumberFormat="1" applyFont="1" applyFill="1" applyBorder="1" applyAlignment="1">
      <alignment vertical="center"/>
    </xf>
    <xf numFmtId="173" fontId="179" fillId="0" borderId="0" xfId="457" applyNumberFormat="1" applyFill="1" applyBorder="1" applyAlignment="1">
      <alignment vertical="center"/>
    </xf>
    <xf numFmtId="173" fontId="86" fillId="30" borderId="0" xfId="457" applyNumberFormat="1" applyFont="1" applyFill="1" applyBorder="1" applyAlignment="1">
      <alignment vertical="center"/>
    </xf>
    <xf numFmtId="173" fontId="179" fillId="0" borderId="0" xfId="457" applyNumberFormat="1" applyBorder="1" applyAlignment="1">
      <alignment vertical="center"/>
    </xf>
    <xf numFmtId="173" fontId="6" fillId="0" borderId="0" xfId="457" applyNumberFormat="1" applyFont="1" applyBorder="1" applyAlignment="1">
      <alignment vertical="center"/>
    </xf>
    <xf numFmtId="173" fontId="179" fillId="0" borderId="0" xfId="457" applyNumberFormat="1" applyFont="1" applyBorder="1" applyAlignment="1">
      <alignment vertical="center"/>
    </xf>
    <xf numFmtId="173" fontId="199" fillId="65" borderId="0" xfId="457" applyNumberFormat="1" applyFont="1" applyFill="1" applyBorder="1" applyAlignment="1">
      <alignment vertical="center"/>
    </xf>
    <xf numFmtId="173" fontId="179" fillId="0" borderId="0" xfId="457" applyNumberFormat="1" applyFont="1" applyAlignment="1">
      <alignment vertical="center"/>
    </xf>
    <xf numFmtId="0" fontId="179" fillId="0" borderId="0" xfId="0" applyFont="1" applyFill="1" applyAlignment="1">
      <alignment vertical="center" wrapText="1"/>
    </xf>
    <xf numFmtId="43" fontId="86" fillId="30" borderId="0" xfId="457" applyNumberFormat="1" applyFont="1" applyFill="1" applyAlignment="1">
      <alignment vertical="center"/>
    </xf>
    <xf numFmtId="173" fontId="179" fillId="0" borderId="16" xfId="457" applyNumberFormat="1" applyBorder="1" applyAlignment="1">
      <alignment vertical="center"/>
    </xf>
    <xf numFmtId="173" fontId="6" fillId="0" borderId="16" xfId="457" applyNumberFormat="1" applyFont="1" applyBorder="1" applyAlignment="1">
      <alignment vertical="center"/>
    </xf>
    <xf numFmtId="174" fontId="6" fillId="0" borderId="0" xfId="1088" applyNumberFormat="1" applyFont="1" applyAlignment="1">
      <alignment vertical="center"/>
    </xf>
    <xf numFmtId="173" fontId="9" fillId="0" borderId="0" xfId="381" applyNumberFormat="1" applyFont="1"/>
    <xf numFmtId="0" fontId="6" fillId="0" borderId="16" xfId="1426" applyFont="1" applyBorder="1" applyAlignment="1">
      <alignment horizontal="center"/>
    </xf>
    <xf numFmtId="0" fontId="14" fillId="0" borderId="0" xfId="1426" applyFont="1" applyFill="1" applyBorder="1" applyAlignment="1">
      <alignment horizontal="center" wrapText="1"/>
    </xf>
    <xf numFmtId="172" fontId="4" fillId="0" borderId="0" xfId="1689" applyFont="1" applyFill="1" applyAlignment="1">
      <alignment horizontal="left" vertical="top" wrapText="1"/>
    </xf>
    <xf numFmtId="172" fontId="61" fillId="0" borderId="0" xfId="1689" applyFont="1" applyFill="1" applyAlignment="1">
      <alignment horizontal="left" wrapText="1"/>
    </xf>
    <xf numFmtId="0" fontId="7" fillId="0" borderId="0" xfId="1689" applyNumberFormat="1" applyFont="1" applyFill="1" applyAlignment="1" applyProtection="1">
      <alignment horizontal="center"/>
      <protection locked="0"/>
    </xf>
    <xf numFmtId="0" fontId="10" fillId="0" borderId="0" xfId="0" applyFont="1" applyFill="1" applyAlignment="1"/>
    <xf numFmtId="49" fontId="4" fillId="0" borderId="0" xfId="1689" applyNumberFormat="1" applyFont="1" applyFill="1" applyAlignment="1" applyProtection="1">
      <alignment horizontal="center"/>
      <protection locked="0"/>
    </xf>
    <xf numFmtId="0" fontId="9" fillId="0" borderId="0" xfId="0" applyFont="1" applyFill="1" applyAlignment="1">
      <alignment horizontal="center"/>
    </xf>
    <xf numFmtId="0" fontId="4" fillId="0" borderId="0" xfId="1689" applyNumberFormat="1" applyFont="1" applyFill="1" applyAlignment="1" applyProtection="1">
      <alignment horizontal="left" vertical="top" wrapText="1"/>
      <protection locked="0"/>
    </xf>
    <xf numFmtId="0" fontId="4" fillId="0" borderId="0" xfId="0" applyFont="1" applyAlignment="1">
      <alignment horizontal="left" vertical="top" wrapText="1"/>
    </xf>
    <xf numFmtId="0" fontId="4" fillId="0" borderId="0" xfId="1689" applyNumberFormat="1" applyFont="1" applyFill="1" applyAlignment="1" applyProtection="1">
      <alignment horizontal="left" vertical="center" wrapText="1"/>
      <protection locked="0"/>
    </xf>
    <xf numFmtId="0" fontId="4" fillId="0" borderId="0" xfId="1689" applyNumberFormat="1" applyFont="1" applyFill="1" applyAlignment="1" applyProtection="1">
      <alignment horizontal="left" wrapText="1"/>
      <protection locked="0"/>
    </xf>
    <xf numFmtId="0" fontId="4" fillId="0" borderId="0" xfId="0" applyNumberFormat="1" applyFont="1" applyFill="1" applyAlignment="1">
      <alignment wrapText="1"/>
    </xf>
    <xf numFmtId="0" fontId="4" fillId="0" borderId="0" xfId="0" applyFont="1" applyFill="1" applyAlignment="1">
      <alignment wrapText="1"/>
    </xf>
    <xf numFmtId="172" fontId="4" fillId="0" borderId="0" xfId="1689" applyFont="1" applyFill="1" applyAlignment="1">
      <alignment wrapText="1"/>
    </xf>
    <xf numFmtId="0" fontId="6" fillId="0" borderId="0" xfId="0" applyFont="1" applyFill="1" applyBorder="1" applyAlignment="1">
      <alignment horizontal="left" wrapText="1"/>
    </xf>
    <xf numFmtId="0" fontId="6" fillId="0" borderId="0" xfId="1519" quotePrefix="1" applyFont="1" applyFill="1" applyBorder="1" applyAlignment="1">
      <alignment horizontal="center" wrapText="1"/>
    </xf>
    <xf numFmtId="0" fontId="9" fillId="0" borderId="0" xfId="0" applyFont="1" applyFill="1" applyAlignment="1">
      <alignment horizontal="center" wrapText="1"/>
    </xf>
    <xf numFmtId="0" fontId="4" fillId="0" borderId="0" xfId="1519" applyFont="1" applyFill="1" applyBorder="1" applyAlignment="1">
      <alignment horizontal="center"/>
    </xf>
    <xf numFmtId="0" fontId="5" fillId="0" borderId="0" xfId="1519" applyFont="1" applyFill="1" applyBorder="1" applyAlignment="1">
      <alignment horizontal="center"/>
    </xf>
    <xf numFmtId="3" fontId="5" fillId="0" borderId="0" xfId="1519" applyNumberFormat="1" applyFont="1" applyFill="1" applyBorder="1" applyAlignment="1">
      <alignment horizontal="center"/>
    </xf>
    <xf numFmtId="0" fontId="4" fillId="0" borderId="0" xfId="0" applyFont="1" applyFill="1" applyAlignment="1">
      <alignment horizontal="center"/>
    </xf>
    <xf numFmtId="3" fontId="5" fillId="0" borderId="0" xfId="381" applyNumberFormat="1" applyFont="1" applyFill="1" applyAlignment="1">
      <alignment horizontal="center"/>
    </xf>
    <xf numFmtId="0" fontId="51" fillId="0" borderId="0" xfId="0" applyFont="1" applyAlignment="1">
      <alignment horizontal="left" vertical="top" wrapText="1"/>
    </xf>
    <xf numFmtId="0" fontId="10" fillId="0" borderId="0" xfId="1681" applyFont="1" applyFill="1" applyAlignment="1">
      <alignment horizontal="center" wrapText="1"/>
    </xf>
    <xf numFmtId="0" fontId="9" fillId="0" borderId="0" xfId="0" applyFont="1" applyFill="1" applyAlignment="1">
      <alignment wrapText="1"/>
    </xf>
    <xf numFmtId="0" fontId="15" fillId="0" borderId="0" xfId="0" applyFont="1" applyFill="1" applyAlignment="1">
      <alignment horizontal="center"/>
    </xf>
    <xf numFmtId="0" fontId="15" fillId="0" borderId="0" xfId="1519" applyFont="1" applyFill="1" applyBorder="1" applyAlignment="1">
      <alignment horizontal="center"/>
    </xf>
    <xf numFmtId="3" fontId="3" fillId="0" borderId="0" xfId="0" applyNumberFormat="1" applyFont="1" applyFill="1" applyAlignment="1">
      <alignment horizontal="center"/>
    </xf>
    <xf numFmtId="0" fontId="15" fillId="0" borderId="0" xfId="0" applyFont="1" applyFill="1" applyAlignment="1">
      <alignment horizontal="center" wrapText="1"/>
    </xf>
    <xf numFmtId="0" fontId="9" fillId="0" borderId="0" xfId="0" applyFont="1" applyFill="1" applyAlignment="1">
      <alignment horizontal="left" wrapText="1"/>
    </xf>
    <xf numFmtId="0" fontId="10" fillId="0" borderId="0" xfId="0" applyFont="1" applyFill="1" applyAlignment="1">
      <alignment horizontal="center"/>
    </xf>
    <xf numFmtId="0" fontId="3" fillId="0" borderId="0" xfId="0" applyFont="1" applyFill="1" applyAlignment="1">
      <alignment horizontal="center" wrapText="1"/>
    </xf>
    <xf numFmtId="0" fontId="3" fillId="0" borderId="0" xfId="0" applyFont="1" applyFill="1" applyAlignment="1">
      <alignment horizontal="center"/>
    </xf>
    <xf numFmtId="3" fontId="9" fillId="0" borderId="16" xfId="1538" applyFont="1" applyFill="1" applyBorder="1" applyAlignment="1">
      <alignment horizontal="center" wrapText="1"/>
    </xf>
    <xf numFmtId="3" fontId="15" fillId="0" borderId="0" xfId="1519" applyNumberFormat="1" applyFont="1" applyFill="1" applyBorder="1" applyAlignment="1">
      <alignment horizontal="center"/>
    </xf>
    <xf numFmtId="3" fontId="81" fillId="0" borderId="0" xfId="1538" applyFont="1" applyFill="1" applyBorder="1" applyAlignment="1">
      <alignment horizontal="left" wrapText="1"/>
    </xf>
    <xf numFmtId="3" fontId="9" fillId="0" borderId="0" xfId="1538" applyFont="1" applyFill="1" applyBorder="1" applyAlignment="1">
      <alignment horizontal="left" wrapText="1"/>
    </xf>
    <xf numFmtId="0" fontId="62" fillId="0" borderId="0" xfId="1519" applyNumberFormat="1" applyFont="1" applyFill="1" applyBorder="1" applyAlignment="1">
      <alignment horizontal="center"/>
    </xf>
    <xf numFmtId="3" fontId="5" fillId="0" borderId="0" xfId="0" applyNumberFormat="1" applyFont="1" applyFill="1" applyAlignment="1">
      <alignment horizontal="center"/>
    </xf>
    <xf numFmtId="0" fontId="62" fillId="0" borderId="0" xfId="1681" applyFont="1" applyFill="1" applyAlignment="1">
      <alignment horizontal="center"/>
    </xf>
    <xf numFmtId="0" fontId="62" fillId="0" borderId="0" xfId="0" applyFont="1" applyFill="1" applyAlignment="1">
      <alignment horizontal="center"/>
    </xf>
    <xf numFmtId="14" fontId="14" fillId="0" borderId="0" xfId="1681"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4" fillId="0" borderId="0" xfId="1681" applyFont="1" applyFill="1" applyBorder="1" applyAlignment="1">
      <alignment horizontal="center" wrapText="1"/>
    </xf>
    <xf numFmtId="0" fontId="10" fillId="0" borderId="0" xfId="0" applyFont="1" applyFill="1" applyBorder="1" applyAlignment="1">
      <alignment horizontal="center" wrapText="1"/>
    </xf>
    <xf numFmtId="172" fontId="15" fillId="0" borderId="51" xfId="1689" applyFont="1" applyFill="1" applyBorder="1" applyAlignment="1" applyProtection="1">
      <alignment horizontal="left" wrapText="1"/>
      <protection locked="0"/>
    </xf>
    <xf numFmtId="172" fontId="15" fillId="0" borderId="24" xfId="1689" applyFont="1" applyFill="1" applyBorder="1" applyAlignment="1" applyProtection="1">
      <alignment horizontal="left" wrapText="1"/>
      <protection locked="0"/>
    </xf>
    <xf numFmtId="172" fontId="15" fillId="0" borderId="28" xfId="1689" applyFont="1" applyFill="1" applyBorder="1" applyAlignment="1" applyProtection="1">
      <alignment horizontal="left" wrapText="1"/>
      <protection locked="0"/>
    </xf>
    <xf numFmtId="172" fontId="15" fillId="0" borderId="26" xfId="1689" applyFont="1" applyFill="1" applyBorder="1" applyAlignment="1" applyProtection="1">
      <alignment horizontal="left" wrapText="1"/>
      <protection locked="0"/>
    </xf>
    <xf numFmtId="172" fontId="15" fillId="0" borderId="0" xfId="1689" applyFont="1" applyFill="1" applyBorder="1" applyAlignment="1" applyProtection="1">
      <alignment horizontal="left" wrapText="1"/>
      <protection locked="0"/>
    </xf>
    <xf numFmtId="172" fontId="15" fillId="0" borderId="27" xfId="1689" applyFont="1" applyFill="1" applyBorder="1" applyAlignment="1" applyProtection="1">
      <alignment horizontal="left" wrapText="1"/>
      <protection locked="0"/>
    </xf>
    <xf numFmtId="0" fontId="3" fillId="0" borderId="0" xfId="0" applyFont="1" applyFill="1" applyAlignment="1">
      <alignment wrapText="1"/>
    </xf>
    <xf numFmtId="172" fontId="4" fillId="0" borderId="51" xfId="1689" applyFont="1" applyFill="1" applyBorder="1" applyAlignment="1" applyProtection="1">
      <alignment horizontal="left" wrapText="1"/>
      <protection locked="0"/>
    </xf>
    <xf numFmtId="172" fontId="4" fillId="0" borderId="24" xfId="1689" applyFont="1" applyFill="1" applyBorder="1" applyAlignment="1" applyProtection="1">
      <alignment horizontal="left" wrapText="1"/>
      <protection locked="0"/>
    </xf>
    <xf numFmtId="172" fontId="4" fillId="0" borderId="28" xfId="1689" applyFont="1" applyFill="1" applyBorder="1" applyAlignment="1" applyProtection="1">
      <alignment horizontal="left" wrapText="1"/>
      <protection locked="0"/>
    </xf>
    <xf numFmtId="172" fontId="4" fillId="0" borderId="26" xfId="1689" applyFont="1" applyFill="1" applyBorder="1" applyAlignment="1" applyProtection="1">
      <alignment horizontal="left" wrapText="1"/>
      <protection locked="0"/>
    </xf>
    <xf numFmtId="172" fontId="4" fillId="0" borderId="0" xfId="1689" applyFont="1" applyFill="1" applyBorder="1" applyAlignment="1" applyProtection="1">
      <alignment horizontal="left" wrapText="1"/>
      <protection locked="0"/>
    </xf>
    <xf numFmtId="172" fontId="4" fillId="0" borderId="27" xfId="1689" applyFont="1" applyFill="1" applyBorder="1" applyAlignment="1" applyProtection="1">
      <alignment horizontal="left" wrapText="1"/>
      <protection locked="0"/>
    </xf>
    <xf numFmtId="3" fontId="4" fillId="0" borderId="0" xfId="1519" applyNumberFormat="1" applyFont="1" applyFill="1" applyBorder="1" applyAlignment="1">
      <alignment horizontal="center"/>
    </xf>
    <xf numFmtId="0" fontId="117" fillId="0" borderId="0" xfId="1692" applyFont="1" applyFill="1" applyAlignment="1" applyProtection="1">
      <alignment horizontal="left" vertical="top" wrapText="1"/>
    </xf>
    <xf numFmtId="0" fontId="14" fillId="0" borderId="16" xfId="0" applyFont="1" applyFill="1" applyBorder="1" applyAlignment="1">
      <alignment horizontal="center"/>
    </xf>
    <xf numFmtId="0" fontId="6" fillId="0" borderId="0" xfId="0" applyFont="1" applyFill="1" applyAlignment="1">
      <alignment horizontal="center" wrapText="1"/>
    </xf>
    <xf numFmtId="3" fontId="51" fillId="0" borderId="0" xfId="1426" applyNumberFormat="1" applyFont="1" applyFill="1" applyAlignment="1">
      <alignment horizontal="left" wrapText="1"/>
    </xf>
    <xf numFmtId="0" fontId="127" fillId="0" borderId="0" xfId="1681" applyFont="1" applyFill="1" applyAlignment="1">
      <alignment horizontal="left" wrapText="1"/>
    </xf>
    <xf numFmtId="0" fontId="4" fillId="0" borderId="0" xfId="1519" applyFont="1" applyFill="1" applyBorder="1" applyAlignment="1">
      <alignment horizontal="center" vertical="center"/>
    </xf>
    <xf numFmtId="0" fontId="5" fillId="0" borderId="0" xfId="1519" applyFont="1" applyFill="1" applyBorder="1" applyAlignment="1">
      <alignment horizontal="center" vertical="center"/>
    </xf>
    <xf numFmtId="0" fontId="11" fillId="0" borderId="16" xfId="0" applyFont="1" applyFill="1" applyBorder="1" applyAlignment="1">
      <alignment horizontal="center"/>
    </xf>
    <xf numFmtId="3" fontId="128" fillId="0" borderId="0" xfId="0" applyNumberFormat="1" applyFont="1" applyFill="1" applyAlignment="1">
      <alignment horizontal="center"/>
    </xf>
    <xf numFmtId="3" fontId="4" fillId="0" borderId="0" xfId="0" applyNumberFormat="1" applyFont="1" applyFill="1" applyAlignment="1">
      <alignment horizontal="center"/>
    </xf>
    <xf numFmtId="0" fontId="28" fillId="0" borderId="0" xfId="0" applyFont="1" applyFill="1" applyAlignment="1">
      <alignment horizontal="center" wrapText="1"/>
    </xf>
    <xf numFmtId="0" fontId="51" fillId="0" borderId="0" xfId="0" applyFont="1" applyFill="1" applyAlignment="1">
      <alignment horizontal="center" wrapText="1"/>
    </xf>
    <xf numFmtId="0" fontId="5" fillId="0" borderId="0" xfId="0" applyFont="1" applyFill="1" applyAlignment="1">
      <alignment horizontal="center"/>
    </xf>
    <xf numFmtId="3" fontId="5" fillId="0" borderId="0" xfId="399" applyNumberFormat="1" applyFont="1" applyFill="1" applyAlignment="1">
      <alignment horizontal="center"/>
    </xf>
    <xf numFmtId="0" fontId="10" fillId="0" borderId="0" xfId="1685" applyFont="1" applyFill="1" applyAlignment="1">
      <alignment horizontal="center" wrapText="1"/>
    </xf>
    <xf numFmtId="0" fontId="62" fillId="0" borderId="0" xfId="1685" applyFont="1" applyFill="1" applyAlignment="1">
      <alignment horizontal="center"/>
    </xf>
    <xf numFmtId="14" fontId="14" fillId="0" borderId="0" xfId="1685" applyNumberFormat="1" applyFont="1" applyFill="1" applyBorder="1" applyAlignment="1">
      <alignment horizontal="center" wrapText="1"/>
    </xf>
    <xf numFmtId="0" fontId="14" fillId="0" borderId="0" xfId="1685" applyFont="1" applyFill="1" applyBorder="1" applyAlignment="1">
      <alignment horizontal="center" wrapText="1"/>
    </xf>
    <xf numFmtId="0" fontId="117" fillId="0" borderId="0" xfId="1693" applyFont="1" applyFill="1" applyAlignment="1" applyProtection="1">
      <alignment horizontal="left" vertical="top" wrapText="1"/>
    </xf>
    <xf numFmtId="0" fontId="127" fillId="0" borderId="0" xfId="1685" applyFont="1" applyFill="1" applyAlignment="1">
      <alignment horizontal="left" wrapText="1"/>
    </xf>
  </cellXfs>
  <cellStyles count="2062">
    <cellStyle name="20% - Accent1" xfId="1" builtinId="30" customBuiltin="1"/>
    <cellStyle name="20% - Accent1 2" xfId="2"/>
    <cellStyle name="20% - Accent1 2 2" xfId="3"/>
    <cellStyle name="20% - Accent1 2 2 2" xfId="4"/>
    <cellStyle name="20% - Accent1 2 2 3" xfId="5"/>
    <cellStyle name="20% - Accent1 2 2 4" xfId="6"/>
    <cellStyle name="20% - Accent1 2 3" xfId="7"/>
    <cellStyle name="20% - Accent1 2 3 2" xfId="8"/>
    <cellStyle name="20% - Accent1 2 3 3" xfId="9"/>
    <cellStyle name="20% - Accent1 2 4" xfId="10"/>
    <cellStyle name="20% - Accent1 2 5" xfId="11"/>
    <cellStyle name="20% - Accent1 2 6" xfId="12"/>
    <cellStyle name="20% - Accent1 2 7" xfId="13"/>
    <cellStyle name="20% - Accent1 3" xfId="14"/>
    <cellStyle name="20% - Accent1 3 2" xfId="15"/>
    <cellStyle name="20% - Accent1 3 2 2" xfId="16"/>
    <cellStyle name="20% - Accent1 3 3" xfId="17"/>
    <cellStyle name="20% - Accent1 4" xfId="18"/>
    <cellStyle name="20% - Accent1 5" xfId="19"/>
    <cellStyle name="20% - Accent2" xfId="20" builtinId="34" customBuiltin="1"/>
    <cellStyle name="20% - Accent2 2" xfId="21"/>
    <cellStyle name="20% - Accent2 2 2" xfId="22"/>
    <cellStyle name="20% - Accent2 2 2 2" xfId="23"/>
    <cellStyle name="20% - Accent2 2 3" xfId="24"/>
    <cellStyle name="20% - Accent2 2 3 2" xfId="25"/>
    <cellStyle name="20% - Accent2 2 3 3" xfId="26"/>
    <cellStyle name="20% - Accent2 2 4" xfId="27"/>
    <cellStyle name="20% - Accent2 2 5" xfId="28"/>
    <cellStyle name="20% - Accent2 2 6" xfId="29"/>
    <cellStyle name="20% - Accent2 3" xfId="30"/>
    <cellStyle name="20% - Accent2 4" xfId="31"/>
    <cellStyle name="20% - Accent3" xfId="32" builtinId="38" customBuiltin="1"/>
    <cellStyle name="20% - Accent3 2" xfId="33"/>
    <cellStyle name="20% - Accent3 2 2" xfId="34"/>
    <cellStyle name="20% - Accent3 2 2 2" xfId="35"/>
    <cellStyle name="20% - Accent3 2 2 3" xfId="36"/>
    <cellStyle name="20% - Accent3 2 2 4" xfId="37"/>
    <cellStyle name="20% - Accent3 2 3" xfId="38"/>
    <cellStyle name="20% - Accent3 2 3 2" xfId="39"/>
    <cellStyle name="20% - Accent3 2 3 3" xfId="40"/>
    <cellStyle name="20% - Accent3 2 4" xfId="41"/>
    <cellStyle name="20% - Accent3 2 5" xfId="42"/>
    <cellStyle name="20% - Accent3 2 6" xfId="43"/>
    <cellStyle name="20% - Accent3 2 7" xfId="44"/>
    <cellStyle name="20% - Accent3 3" xfId="45"/>
    <cellStyle name="20% - Accent3 3 2" xfId="46"/>
    <cellStyle name="20% - Accent3 3 2 2" xfId="47"/>
    <cellStyle name="20% - Accent3 3 3" xfId="48"/>
    <cellStyle name="20% - Accent3 4" xfId="49"/>
    <cellStyle name="20% - Accent3 5" xfId="50"/>
    <cellStyle name="20% - Accent4" xfId="51" builtinId="42" customBuiltin="1"/>
    <cellStyle name="20% - Accent4 2" xfId="52"/>
    <cellStyle name="20% - Accent4 2 2" xfId="53"/>
    <cellStyle name="20% - Accent4 2 2 2" xfId="54"/>
    <cellStyle name="20% - Accent4 2 2 3" xfId="55"/>
    <cellStyle name="20% - Accent4 2 2 4" xfId="56"/>
    <cellStyle name="20% - Accent4 2 3" xfId="57"/>
    <cellStyle name="20% - Accent4 2 3 2" xfId="58"/>
    <cellStyle name="20% - Accent4 2 3 3" xfId="59"/>
    <cellStyle name="20% - Accent4 2 4" xfId="60"/>
    <cellStyle name="20% - Accent4 2 5" xfId="61"/>
    <cellStyle name="20% - Accent4 2 6" xfId="62"/>
    <cellStyle name="20% - Accent4 2 7" xfId="63"/>
    <cellStyle name="20% - Accent4 3" xfId="64"/>
    <cellStyle name="20% - Accent4 3 2" xfId="65"/>
    <cellStyle name="20% - Accent4 3 2 2" xfId="66"/>
    <cellStyle name="20% - Accent4 3 3" xfId="67"/>
    <cellStyle name="20% - Accent4 4" xfId="68"/>
    <cellStyle name="20% - Accent4 5" xfId="69"/>
    <cellStyle name="20% - Accent5" xfId="70" builtinId="46" customBuiltin="1"/>
    <cellStyle name="20% - Accent5 2" xfId="71"/>
    <cellStyle name="20% - Accent5 2 2" xfId="72"/>
    <cellStyle name="20% - Accent5 2 2 2" xfId="73"/>
    <cellStyle name="20% - Accent5 2 3" xfId="74"/>
    <cellStyle name="20% - Accent5 2 3 2" xfId="75"/>
    <cellStyle name="20% - Accent5 2 3 3" xfId="76"/>
    <cellStyle name="20% - Accent5 2 4" xfId="77"/>
    <cellStyle name="20% - Accent5 2 5" xfId="78"/>
    <cellStyle name="20% - Accent5 2 6" xfId="79"/>
    <cellStyle name="20% - Accent5 3" xfId="80"/>
    <cellStyle name="20% - Accent5 4" xfId="81"/>
    <cellStyle name="20% - Accent6" xfId="82" builtinId="50" customBuiltin="1"/>
    <cellStyle name="20% - Accent6 2" xfId="83"/>
    <cellStyle name="20% - Accent6 2 2" xfId="84"/>
    <cellStyle name="20% - Accent6 2 2 2" xfId="85"/>
    <cellStyle name="20% - Accent6 2 3" xfId="86"/>
    <cellStyle name="20% - Accent6 2 3 2" xfId="87"/>
    <cellStyle name="20% - Accent6 2 3 3" xfId="88"/>
    <cellStyle name="20% - Accent6 2 4" xfId="89"/>
    <cellStyle name="20% - Accent6 2 5" xfId="90"/>
    <cellStyle name="20% - Accent6 2 6" xfId="91"/>
    <cellStyle name="20% - Accent6 3" xfId="92"/>
    <cellStyle name="20% - Accent6 4" xfId="93"/>
    <cellStyle name="40% - Accent1" xfId="94" builtinId="31" customBuiltin="1"/>
    <cellStyle name="40% - Accent1 2" xfId="95"/>
    <cellStyle name="40% - Accent1 2 2" xfId="96"/>
    <cellStyle name="40% - Accent1 2 2 2" xfId="97"/>
    <cellStyle name="40% - Accent1 2 2 3" xfId="98"/>
    <cellStyle name="40% - Accent1 2 2 4" xfId="99"/>
    <cellStyle name="40% - Accent1 2 3" xfId="100"/>
    <cellStyle name="40% - Accent1 2 3 2" xfId="101"/>
    <cellStyle name="40% - Accent1 2 3 3" xfId="102"/>
    <cellStyle name="40% - Accent1 2 4" xfId="103"/>
    <cellStyle name="40% - Accent1 2 5" xfId="104"/>
    <cellStyle name="40% - Accent1 2 6" xfId="105"/>
    <cellStyle name="40% - Accent1 2 7" xfId="106"/>
    <cellStyle name="40% - Accent1 3" xfId="107"/>
    <cellStyle name="40% - Accent1 3 2" xfId="108"/>
    <cellStyle name="40% - Accent1 3 2 2" xfId="109"/>
    <cellStyle name="40% - Accent1 3 3" xfId="110"/>
    <cellStyle name="40% - Accent1 4" xfId="111"/>
    <cellStyle name="40% - Accent1 5" xfId="112"/>
    <cellStyle name="40% - Accent2" xfId="113" builtinId="35" customBuiltin="1"/>
    <cellStyle name="40% - Accent2 2" xfId="114"/>
    <cellStyle name="40% - Accent2 2 2" xfId="115"/>
    <cellStyle name="40% - Accent2 2 2 2" xfId="116"/>
    <cellStyle name="40% - Accent2 2 3" xfId="117"/>
    <cellStyle name="40% - Accent2 2 3 2" xfId="118"/>
    <cellStyle name="40% - Accent2 2 3 3" xfId="119"/>
    <cellStyle name="40% - Accent2 2 4" xfId="120"/>
    <cellStyle name="40% - Accent2 2 5" xfId="121"/>
    <cellStyle name="40% - Accent2 2 6" xfId="122"/>
    <cellStyle name="40% - Accent2 3" xfId="123"/>
    <cellStyle name="40% - Accent2 4" xfId="124"/>
    <cellStyle name="40% - Accent3" xfId="125" builtinId="39" customBuiltin="1"/>
    <cellStyle name="40% - Accent3 2" xfId="126"/>
    <cellStyle name="40% - Accent3 2 2" xfId="127"/>
    <cellStyle name="40% - Accent3 2 2 2" xfId="128"/>
    <cellStyle name="40% - Accent3 2 2 3" xfId="129"/>
    <cellStyle name="40% - Accent3 2 2 4" xfId="130"/>
    <cellStyle name="40% - Accent3 2 3" xfId="131"/>
    <cellStyle name="40% - Accent3 2 3 2" xfId="132"/>
    <cellStyle name="40% - Accent3 2 3 3" xfId="133"/>
    <cellStyle name="40% - Accent3 2 4" xfId="134"/>
    <cellStyle name="40% - Accent3 2 5" xfId="135"/>
    <cellStyle name="40% - Accent3 2 6" xfId="136"/>
    <cellStyle name="40% - Accent3 2 7" xfId="137"/>
    <cellStyle name="40% - Accent3 3" xfId="138"/>
    <cellStyle name="40% - Accent3 3 2" xfId="139"/>
    <cellStyle name="40% - Accent3 3 2 2" xfId="140"/>
    <cellStyle name="40% - Accent3 3 3" xfId="141"/>
    <cellStyle name="40% - Accent3 4" xfId="142"/>
    <cellStyle name="40% - Accent3 5" xfId="143"/>
    <cellStyle name="40% - Accent4" xfId="144" builtinId="43" customBuiltin="1"/>
    <cellStyle name="40% - Accent4 2" xfId="145"/>
    <cellStyle name="40% - Accent4 2 2" xfId="146"/>
    <cellStyle name="40% - Accent4 2 2 2" xfId="147"/>
    <cellStyle name="40% - Accent4 2 2 3" xfId="148"/>
    <cellStyle name="40% - Accent4 2 2 4" xfId="149"/>
    <cellStyle name="40% - Accent4 2 3" xfId="150"/>
    <cellStyle name="40% - Accent4 2 3 2" xfId="151"/>
    <cellStyle name="40% - Accent4 2 3 3" xfId="152"/>
    <cellStyle name="40% - Accent4 2 4" xfId="153"/>
    <cellStyle name="40% - Accent4 2 5" xfId="154"/>
    <cellStyle name="40% - Accent4 2 6" xfId="155"/>
    <cellStyle name="40% - Accent4 2 7" xfId="156"/>
    <cellStyle name="40% - Accent4 3" xfId="157"/>
    <cellStyle name="40% - Accent4 3 2" xfId="158"/>
    <cellStyle name="40% - Accent4 3 2 2" xfId="159"/>
    <cellStyle name="40% - Accent4 3 3" xfId="160"/>
    <cellStyle name="40% - Accent4 4" xfId="161"/>
    <cellStyle name="40% - Accent4 5" xfId="162"/>
    <cellStyle name="40% - Accent5" xfId="163" builtinId="47" customBuiltin="1"/>
    <cellStyle name="40% - Accent5 2" xfId="164"/>
    <cellStyle name="40% - Accent5 2 2" xfId="165"/>
    <cellStyle name="40% - Accent5 2 2 2" xfId="166"/>
    <cellStyle name="40% - Accent5 2 3" xfId="167"/>
    <cellStyle name="40% - Accent5 2 3 2" xfId="168"/>
    <cellStyle name="40% - Accent5 2 3 3" xfId="169"/>
    <cellStyle name="40% - Accent5 2 4" xfId="170"/>
    <cellStyle name="40% - Accent5 2 5" xfId="171"/>
    <cellStyle name="40% - Accent5 2 6" xfId="172"/>
    <cellStyle name="40% - Accent5 3" xfId="173"/>
    <cellStyle name="40% - Accent5 4" xfId="174"/>
    <cellStyle name="40% - Accent6" xfId="175" builtinId="51" customBuiltin="1"/>
    <cellStyle name="40% - Accent6 2" xfId="176"/>
    <cellStyle name="40% - Accent6 2 2" xfId="177"/>
    <cellStyle name="40% - Accent6 2 2 2" xfId="178"/>
    <cellStyle name="40% - Accent6 2 2 3" xfId="179"/>
    <cellStyle name="40% - Accent6 2 2 4" xfId="180"/>
    <cellStyle name="40% - Accent6 2 3" xfId="181"/>
    <cellStyle name="40% - Accent6 2 3 2" xfId="182"/>
    <cellStyle name="40% - Accent6 2 3 3" xfId="183"/>
    <cellStyle name="40% - Accent6 2 4" xfId="184"/>
    <cellStyle name="40% - Accent6 2 5" xfId="185"/>
    <cellStyle name="40% - Accent6 2 6" xfId="186"/>
    <cellStyle name="40% - Accent6 2 7" xfId="187"/>
    <cellStyle name="40% - Accent6 3" xfId="188"/>
    <cellStyle name="40% - Accent6 3 2" xfId="189"/>
    <cellStyle name="40% - Accent6 3 2 2" xfId="190"/>
    <cellStyle name="40% - Accent6 3 3" xfId="191"/>
    <cellStyle name="40% - Accent6 4" xfId="192"/>
    <cellStyle name="40% - Accent6 5" xfId="193"/>
    <cellStyle name="60% - Accent1" xfId="194" builtinId="32" customBuiltin="1"/>
    <cellStyle name="60% - Accent1 2" xfId="195"/>
    <cellStyle name="60% - Accent1 2 2" xfId="196"/>
    <cellStyle name="60% - Accent1 2 3" xfId="197"/>
    <cellStyle name="60% - Accent1 2 4" xfId="198"/>
    <cellStyle name="60% - Accent1 2 5" xfId="199"/>
    <cellStyle name="60% - Accent1 2 6" xfId="200"/>
    <cellStyle name="60% - Accent1 2 7" xfId="201"/>
    <cellStyle name="60% - Accent1 3" xfId="202"/>
    <cellStyle name="60% - Accent1 4" xfId="203"/>
    <cellStyle name="60% - Accent1 5" xfId="204"/>
    <cellStyle name="60% - Accent2" xfId="205" builtinId="36" customBuiltin="1"/>
    <cellStyle name="60% - Accent2 2" xfId="206"/>
    <cellStyle name="60% - Accent2 2 2" xfId="207"/>
    <cellStyle name="60% - Accent2 2 3" xfId="208"/>
    <cellStyle name="60% - Accent2 2 4" xfId="209"/>
    <cellStyle name="60% - Accent2 2 5" xfId="210"/>
    <cellStyle name="60% - Accent2 2 6" xfId="211"/>
    <cellStyle name="60% - Accent2 3" xfId="212"/>
    <cellStyle name="60% - Accent2 4" xfId="213"/>
    <cellStyle name="60% - Accent3" xfId="214" builtinId="40" customBuiltin="1"/>
    <cellStyle name="60% - Accent3 2" xfId="215"/>
    <cellStyle name="60% - Accent3 2 2" xfId="216"/>
    <cellStyle name="60% - Accent3 2 3" xfId="217"/>
    <cellStyle name="60% - Accent3 2 4" xfId="218"/>
    <cellStyle name="60% - Accent3 2 5" xfId="219"/>
    <cellStyle name="60% - Accent3 2 6" xfId="220"/>
    <cellStyle name="60% - Accent3 2 7" xfId="221"/>
    <cellStyle name="60% - Accent3 3" xfId="222"/>
    <cellStyle name="60% - Accent3 4" xfId="223"/>
    <cellStyle name="60% - Accent3 5" xfId="224"/>
    <cellStyle name="60% - Accent4" xfId="225" builtinId="44" customBuiltin="1"/>
    <cellStyle name="60% - Accent4 2" xfId="226"/>
    <cellStyle name="60% - Accent4 2 2" xfId="227"/>
    <cellStyle name="60% - Accent4 2 3" xfId="228"/>
    <cellStyle name="60% - Accent4 2 4" xfId="229"/>
    <cellStyle name="60% - Accent4 2 5" xfId="230"/>
    <cellStyle name="60% - Accent4 2 6" xfId="231"/>
    <cellStyle name="60% - Accent4 2 7" xfId="232"/>
    <cellStyle name="60% - Accent4 3" xfId="233"/>
    <cellStyle name="60% - Accent4 4" xfId="234"/>
    <cellStyle name="60% - Accent4 5" xfId="235"/>
    <cellStyle name="60% - Accent5" xfId="236" builtinId="48" customBuiltin="1"/>
    <cellStyle name="60% - Accent5 2" xfId="237"/>
    <cellStyle name="60% - Accent5 2 2" xfId="238"/>
    <cellStyle name="60% - Accent5 2 3" xfId="239"/>
    <cellStyle name="60% - Accent5 2 4" xfId="240"/>
    <cellStyle name="60% - Accent5 2 5" xfId="241"/>
    <cellStyle name="60% - Accent5 2 6" xfId="242"/>
    <cellStyle name="60% - Accent5 3" xfId="243"/>
    <cellStyle name="60% - Accent5 4" xfId="244"/>
    <cellStyle name="60% - Accent6" xfId="245" builtinId="52" customBuiltin="1"/>
    <cellStyle name="60% - Accent6 2" xfId="246"/>
    <cellStyle name="60% - Accent6 2 2" xfId="247"/>
    <cellStyle name="60% - Accent6 2 3" xfId="248"/>
    <cellStyle name="60% - Accent6 2 4" xfId="249"/>
    <cellStyle name="60% - Accent6 2 5" xfId="250"/>
    <cellStyle name="60% - Accent6 2 6" xfId="251"/>
    <cellStyle name="60% - Accent6 2 7" xfId="252"/>
    <cellStyle name="60% - Accent6 3" xfId="253"/>
    <cellStyle name="60% - Accent6 4" xfId="254"/>
    <cellStyle name="60% - Accent6 5" xfId="255"/>
    <cellStyle name="Accent1" xfId="256" builtinId="29" customBuiltin="1"/>
    <cellStyle name="Accent1 2" xfId="257"/>
    <cellStyle name="Accent1 2 2" xfId="258"/>
    <cellStyle name="Accent1 2 3" xfId="259"/>
    <cellStyle name="Accent1 2 4" xfId="260"/>
    <cellStyle name="Accent1 2 5" xfId="261"/>
    <cellStyle name="Accent1 2 6" xfId="262"/>
    <cellStyle name="Accent1 2 7" xfId="263"/>
    <cellStyle name="Accent1 3" xfId="264"/>
    <cellStyle name="Accent1 4" xfId="265"/>
    <cellStyle name="Accent1 5" xfId="266"/>
    <cellStyle name="Accent2" xfId="267" builtinId="33" customBuiltin="1"/>
    <cellStyle name="Accent2 2" xfId="268"/>
    <cellStyle name="Accent2 2 2" xfId="269"/>
    <cellStyle name="Accent2 2 3" xfId="270"/>
    <cellStyle name="Accent2 2 4" xfId="271"/>
    <cellStyle name="Accent2 2 5" xfId="272"/>
    <cellStyle name="Accent2 2 6" xfId="273"/>
    <cellStyle name="Accent2 3" xfId="274"/>
    <cellStyle name="Accent2 4" xfId="275"/>
    <cellStyle name="Accent3" xfId="276" builtinId="37" customBuiltin="1"/>
    <cellStyle name="Accent3 2" xfId="277"/>
    <cellStyle name="Accent3 2 2" xfId="278"/>
    <cellStyle name="Accent3 2 3" xfId="279"/>
    <cellStyle name="Accent3 2 4" xfId="280"/>
    <cellStyle name="Accent3 2 5" xfId="281"/>
    <cellStyle name="Accent3 2 6" xfId="282"/>
    <cellStyle name="Accent3 3" xfId="283"/>
    <cellStyle name="Accent3 4" xfId="284"/>
    <cellStyle name="Accent4" xfId="285" builtinId="41" customBuiltin="1"/>
    <cellStyle name="Accent4 2" xfId="286"/>
    <cellStyle name="Accent4 2 2" xfId="287"/>
    <cellStyle name="Accent4 2 3" xfId="288"/>
    <cellStyle name="Accent4 2 4" xfId="289"/>
    <cellStyle name="Accent4 2 5" xfId="290"/>
    <cellStyle name="Accent4 2 6" xfId="291"/>
    <cellStyle name="Accent4 2 7" xfId="292"/>
    <cellStyle name="Accent4 3" xfId="293"/>
    <cellStyle name="Accent4 4" xfId="294"/>
    <cellStyle name="Accent4 5" xfId="295"/>
    <cellStyle name="Accent5" xfId="296" builtinId="45" customBuiltin="1"/>
    <cellStyle name="Accent5 2" xfId="297"/>
    <cellStyle name="Accent5 2 2" xfId="298"/>
    <cellStyle name="Accent5 2 3" xfId="299"/>
    <cellStyle name="Accent5 2 4" xfId="300"/>
    <cellStyle name="Accent5 2 5" xfId="301"/>
    <cellStyle name="Accent5 2 6" xfId="302"/>
    <cellStyle name="Accent5 3" xfId="303"/>
    <cellStyle name="Accent5 4" xfId="304"/>
    <cellStyle name="Accent6" xfId="305" builtinId="49" customBuiltin="1"/>
    <cellStyle name="Accent6 2" xfId="306"/>
    <cellStyle name="Accent6 2 2" xfId="307"/>
    <cellStyle name="Accent6 2 3" xfId="308"/>
    <cellStyle name="Accent6 2 4" xfId="309"/>
    <cellStyle name="Accent6 2 5" xfId="310"/>
    <cellStyle name="Accent6 2 6" xfId="311"/>
    <cellStyle name="Accent6 3" xfId="312"/>
    <cellStyle name="Accent6 4" xfId="313"/>
    <cellStyle name="Bad" xfId="314" builtinId="27" customBuiltin="1"/>
    <cellStyle name="Bad 2" xfId="315"/>
    <cellStyle name="Bad 2 2" xfId="316"/>
    <cellStyle name="Bad 2 3" xfId="317"/>
    <cellStyle name="Bad 2 4" xfId="318"/>
    <cellStyle name="Bad 2 5" xfId="319"/>
    <cellStyle name="Bad 2 6" xfId="320"/>
    <cellStyle name="Bad 2 7" xfId="321"/>
    <cellStyle name="Bad 3" xfId="322"/>
    <cellStyle name="Bad 4" xfId="323"/>
    <cellStyle name="Bad 5" xfId="324"/>
    <cellStyle name="C00A" xfId="325"/>
    <cellStyle name="C00B" xfId="326"/>
    <cellStyle name="C00L" xfId="327"/>
    <cellStyle name="C01A" xfId="328"/>
    <cellStyle name="C01B" xfId="329"/>
    <cellStyle name="C01B 2" xfId="330"/>
    <cellStyle name="C01H" xfId="331"/>
    <cellStyle name="C01L" xfId="332"/>
    <cellStyle name="C02A" xfId="333"/>
    <cellStyle name="C02B" xfId="334"/>
    <cellStyle name="C02B 2" xfId="335"/>
    <cellStyle name="C02H" xfId="336"/>
    <cellStyle name="C02L" xfId="337"/>
    <cellStyle name="C03A" xfId="338"/>
    <cellStyle name="C03B" xfId="339"/>
    <cellStyle name="C03H" xfId="340"/>
    <cellStyle name="C03L" xfId="341"/>
    <cellStyle name="C04A" xfId="342"/>
    <cellStyle name="C04A 2" xfId="343"/>
    <cellStyle name="C04B" xfId="344"/>
    <cellStyle name="C04H" xfId="345"/>
    <cellStyle name="C04L" xfId="346"/>
    <cellStyle name="C05A" xfId="347"/>
    <cellStyle name="C05B" xfId="348"/>
    <cellStyle name="C05H" xfId="349"/>
    <cellStyle name="C05L" xfId="350"/>
    <cellStyle name="C05L 2" xfId="351"/>
    <cellStyle name="C06A" xfId="352"/>
    <cellStyle name="C06B" xfId="353"/>
    <cellStyle name="C06H" xfId="354"/>
    <cellStyle name="C06L" xfId="355"/>
    <cellStyle name="C07A" xfId="356"/>
    <cellStyle name="C07B" xfId="357"/>
    <cellStyle name="C07H" xfId="358"/>
    <cellStyle name="C07L" xfId="359"/>
    <cellStyle name="cajun" xfId="360"/>
    <cellStyle name="Calculation" xfId="361" builtinId="22" customBuiltin="1"/>
    <cellStyle name="Calculation 2" xfId="362"/>
    <cellStyle name="Calculation 2 2" xfId="363"/>
    <cellStyle name="Calculation 2 3" xfId="364"/>
    <cellStyle name="Calculation 2 4" xfId="365"/>
    <cellStyle name="Calculation 2 5" xfId="366"/>
    <cellStyle name="Calculation 2 6" xfId="367"/>
    <cellStyle name="Calculation 3" xfId="368"/>
    <cellStyle name="Calculation 4" xfId="369"/>
    <cellStyle name="Check Cell" xfId="370" builtinId="23" customBuiltin="1"/>
    <cellStyle name="Check Cell 2" xfId="371"/>
    <cellStyle name="Check Cell 2 2" xfId="372"/>
    <cellStyle name="Check Cell 2 3" xfId="373"/>
    <cellStyle name="Check Cell 2 4" xfId="374"/>
    <cellStyle name="Check Cell 2 5" xfId="375"/>
    <cellStyle name="Check Cell 2 6" xfId="376"/>
    <cellStyle name="Check Cell 2 7" xfId="377"/>
    <cellStyle name="Check Cell 3" xfId="378"/>
    <cellStyle name="Check Cell 4" xfId="379"/>
    <cellStyle name="Check Cell 5" xfId="380"/>
    <cellStyle name="Comma" xfId="381" builtinId="3"/>
    <cellStyle name="Comma [0] 2" xfId="382"/>
    <cellStyle name="Comma [0] 2 2" xfId="383"/>
    <cellStyle name="Comma 10" xfId="384"/>
    <cellStyle name="Comma 10 2" xfId="385"/>
    <cellStyle name="Comma 100" xfId="386"/>
    <cellStyle name="Comma 101" xfId="387"/>
    <cellStyle name="Comma 101 2" xfId="388"/>
    <cellStyle name="Comma 102" xfId="389"/>
    <cellStyle name="Comma 102 2" xfId="390"/>
    <cellStyle name="Comma 103" xfId="391"/>
    <cellStyle name="Comma 103 2" xfId="392"/>
    <cellStyle name="Comma 104" xfId="393"/>
    <cellStyle name="Comma 104 2" xfId="394"/>
    <cellStyle name="Comma 105" xfId="395"/>
    <cellStyle name="Comma 105 2" xfId="396"/>
    <cellStyle name="Comma 106" xfId="397"/>
    <cellStyle name="Comma 106 2" xfId="398"/>
    <cellStyle name="Comma 107" xfId="399"/>
    <cellStyle name="Comma 107 2" xfId="400"/>
    <cellStyle name="Comma 108" xfId="401"/>
    <cellStyle name="Comma 108 2" xfId="402"/>
    <cellStyle name="Comma 109" xfId="403"/>
    <cellStyle name="Comma 109 2" xfId="404"/>
    <cellStyle name="Comma 11" xfId="405"/>
    <cellStyle name="Comma 11 2" xfId="406"/>
    <cellStyle name="Comma 11 3" xfId="407"/>
    <cellStyle name="Comma 11 4" xfId="408"/>
    <cellStyle name="Comma 110" xfId="409"/>
    <cellStyle name="Comma 110 2" xfId="410"/>
    <cellStyle name="Comma 111" xfId="411"/>
    <cellStyle name="Comma 111 2" xfId="412"/>
    <cellStyle name="Comma 112" xfId="413"/>
    <cellStyle name="Comma 112 2" xfId="414"/>
    <cellStyle name="Comma 113" xfId="415"/>
    <cellStyle name="Comma 113 2" xfId="416"/>
    <cellStyle name="Comma 114" xfId="417"/>
    <cellStyle name="Comma 114 2" xfId="418"/>
    <cellStyle name="Comma 115" xfId="419"/>
    <cellStyle name="Comma 115 2" xfId="420"/>
    <cellStyle name="Comma 116" xfId="421"/>
    <cellStyle name="Comma 116 2" xfId="422"/>
    <cellStyle name="Comma 117" xfId="423"/>
    <cellStyle name="Comma 117 2" xfId="424"/>
    <cellStyle name="Comma 118" xfId="425"/>
    <cellStyle name="Comma 118 2" xfId="426"/>
    <cellStyle name="Comma 119" xfId="427"/>
    <cellStyle name="Comma 119 2" xfId="428"/>
    <cellStyle name="Comma 12" xfId="429"/>
    <cellStyle name="Comma 12 2" xfId="430"/>
    <cellStyle name="Comma 12 2 2" xfId="431"/>
    <cellStyle name="Comma 12 2 3" xfId="432"/>
    <cellStyle name="Comma 12 2 4" xfId="433"/>
    <cellStyle name="Comma 12 2 5" xfId="434"/>
    <cellStyle name="Comma 12 3" xfId="435"/>
    <cellStyle name="Comma 12 4" xfId="436"/>
    <cellStyle name="Comma 120" xfId="437"/>
    <cellStyle name="Comma 120 2" xfId="438"/>
    <cellStyle name="Comma 121" xfId="439"/>
    <cellStyle name="Comma 121 2" xfId="440"/>
    <cellStyle name="Comma 122" xfId="441"/>
    <cellStyle name="Comma 122 2" xfId="442"/>
    <cellStyle name="Comma 123" xfId="443"/>
    <cellStyle name="Comma 123 2" xfId="444"/>
    <cellStyle name="Comma 124" xfId="445"/>
    <cellStyle name="Comma 124 2" xfId="446"/>
    <cellStyle name="Comma 125" xfId="447"/>
    <cellStyle name="Comma 125 2" xfId="448"/>
    <cellStyle name="Comma 126" xfId="449"/>
    <cellStyle name="Comma 126 2" xfId="450"/>
    <cellStyle name="Comma 127" xfId="451"/>
    <cellStyle name="Comma 127 2" xfId="452"/>
    <cellStyle name="Comma 128" xfId="453"/>
    <cellStyle name="Comma 128 2" xfId="454"/>
    <cellStyle name="Comma 128 3" xfId="455"/>
    <cellStyle name="Comma 128 4" xfId="456"/>
    <cellStyle name="Comma 128 5" xfId="457"/>
    <cellStyle name="Comma 129" xfId="458"/>
    <cellStyle name="Comma 129 2" xfId="459"/>
    <cellStyle name="Comma 129 3" xfId="460"/>
    <cellStyle name="Comma 129 4" xfId="461"/>
    <cellStyle name="Comma 129 5" xfId="462"/>
    <cellStyle name="Comma 13" xfId="463"/>
    <cellStyle name="Comma 13 2" xfId="464"/>
    <cellStyle name="Comma 13 3" xfId="465"/>
    <cellStyle name="Comma 130" xfId="466"/>
    <cellStyle name="Comma 130 2" xfId="467"/>
    <cellStyle name="Comma 130 3" xfId="468"/>
    <cellStyle name="Comma 130 4" xfId="469"/>
    <cellStyle name="Comma 130 5" xfId="470"/>
    <cellStyle name="Comma 131" xfId="471"/>
    <cellStyle name="Comma 132" xfId="472"/>
    <cellStyle name="Comma 133" xfId="473"/>
    <cellStyle name="Comma 133 2" xfId="474"/>
    <cellStyle name="Comma 133 3" xfId="475"/>
    <cellStyle name="Comma 133 4" xfId="476"/>
    <cellStyle name="Comma 133 5" xfId="477"/>
    <cellStyle name="Comma 134" xfId="478"/>
    <cellStyle name="Comma 134 2" xfId="479"/>
    <cellStyle name="Comma 134 3" xfId="480"/>
    <cellStyle name="Comma 134 4" xfId="481"/>
    <cellStyle name="Comma 135" xfId="482"/>
    <cellStyle name="Comma 135 2" xfId="483"/>
    <cellStyle name="Comma 135 3" xfId="484"/>
    <cellStyle name="Comma 135 4" xfId="485"/>
    <cellStyle name="Comma 136" xfId="486"/>
    <cellStyle name="Comma 136 2" xfId="487"/>
    <cellStyle name="Comma 136 3" xfId="488"/>
    <cellStyle name="Comma 136 4" xfId="489"/>
    <cellStyle name="Comma 137" xfId="490"/>
    <cellStyle name="Comma 137 2" xfId="491"/>
    <cellStyle name="Comma 137 3" xfId="492"/>
    <cellStyle name="Comma 137 4" xfId="493"/>
    <cellStyle name="Comma 138" xfId="494"/>
    <cellStyle name="Comma 139" xfId="495"/>
    <cellStyle name="Comma 139 2" xfId="496"/>
    <cellStyle name="Comma 139 3" xfId="497"/>
    <cellStyle name="Comma 139 4" xfId="498"/>
    <cellStyle name="Comma 14" xfId="499"/>
    <cellStyle name="Comma 14 2" xfId="500"/>
    <cellStyle name="Comma 14 3" xfId="501"/>
    <cellStyle name="Comma 140" xfId="502"/>
    <cellStyle name="Comma 140 2" xfId="503"/>
    <cellStyle name="Comma 140 3" xfId="504"/>
    <cellStyle name="Comma 140 4" xfId="505"/>
    <cellStyle name="Comma 141" xfId="506"/>
    <cellStyle name="Comma 141 2" xfId="507"/>
    <cellStyle name="Comma 141 3" xfId="508"/>
    <cellStyle name="Comma 141 4" xfId="509"/>
    <cellStyle name="Comma 142" xfId="510"/>
    <cellStyle name="Comma 142 2" xfId="511"/>
    <cellStyle name="Comma 142 3" xfId="512"/>
    <cellStyle name="Comma 142 4" xfId="513"/>
    <cellStyle name="Comma 143" xfId="514"/>
    <cellStyle name="Comma 143 2" xfId="515"/>
    <cellStyle name="Comma 143 3" xfId="516"/>
    <cellStyle name="Comma 143 4" xfId="517"/>
    <cellStyle name="Comma 144" xfId="518"/>
    <cellStyle name="Comma 145" xfId="519"/>
    <cellStyle name="Comma 146" xfId="520"/>
    <cellStyle name="Comma 147" xfId="521"/>
    <cellStyle name="Comma 148" xfId="522"/>
    <cellStyle name="Comma 149" xfId="523"/>
    <cellStyle name="Comma 15" xfId="524"/>
    <cellStyle name="Comma 15 2" xfId="525"/>
    <cellStyle name="Comma 15 3" xfId="526"/>
    <cellStyle name="Comma 150" xfId="527"/>
    <cellStyle name="Comma 151" xfId="528"/>
    <cellStyle name="Comma 152" xfId="529"/>
    <cellStyle name="Comma 153" xfId="530"/>
    <cellStyle name="Comma 154" xfId="531"/>
    <cellStyle name="Comma 155" xfId="532"/>
    <cellStyle name="Comma 156" xfId="533"/>
    <cellStyle name="Comma 157" xfId="534"/>
    <cellStyle name="Comma 158" xfId="535"/>
    <cellStyle name="Comma 159" xfId="536"/>
    <cellStyle name="Comma 16" xfId="537"/>
    <cellStyle name="Comma 16 2" xfId="538"/>
    <cellStyle name="Comma 16 3" xfId="539"/>
    <cellStyle name="Comma 160" xfId="540"/>
    <cellStyle name="Comma 161" xfId="541"/>
    <cellStyle name="Comma 162" xfId="542"/>
    <cellStyle name="Comma 163" xfId="543"/>
    <cellStyle name="Comma 164" xfId="544"/>
    <cellStyle name="Comma 165" xfId="545"/>
    <cellStyle name="Comma 166" xfId="546"/>
    <cellStyle name="Comma 167" xfId="547"/>
    <cellStyle name="Comma 168" xfId="548"/>
    <cellStyle name="Comma 169" xfId="549"/>
    <cellStyle name="Comma 17" xfId="550"/>
    <cellStyle name="Comma 17 2" xfId="551"/>
    <cellStyle name="Comma 17 3" xfId="552"/>
    <cellStyle name="Comma 170" xfId="553"/>
    <cellStyle name="Comma 171" xfId="554"/>
    <cellStyle name="Comma 172" xfId="555"/>
    <cellStyle name="Comma 173" xfId="556"/>
    <cellStyle name="Comma 174" xfId="557"/>
    <cellStyle name="Comma 175" xfId="558"/>
    <cellStyle name="Comma 176" xfId="559"/>
    <cellStyle name="Comma 177" xfId="560"/>
    <cellStyle name="Comma 178" xfId="561"/>
    <cellStyle name="Comma 179" xfId="562"/>
    <cellStyle name="Comma 18" xfId="563"/>
    <cellStyle name="Comma 18 2" xfId="564"/>
    <cellStyle name="Comma 18 3" xfId="565"/>
    <cellStyle name="Comma 180" xfId="566"/>
    <cellStyle name="Comma 181" xfId="567"/>
    <cellStyle name="Comma 182" xfId="568"/>
    <cellStyle name="Comma 183" xfId="569"/>
    <cellStyle name="Comma 184" xfId="570"/>
    <cellStyle name="Comma 185" xfId="571"/>
    <cellStyle name="Comma 186" xfId="572"/>
    <cellStyle name="Comma 187" xfId="573"/>
    <cellStyle name="Comma 188" xfId="574"/>
    <cellStyle name="Comma 189" xfId="575"/>
    <cellStyle name="Comma 19" xfId="576"/>
    <cellStyle name="Comma 19 2" xfId="577"/>
    <cellStyle name="Comma 19 3" xfId="578"/>
    <cellStyle name="Comma 190" xfId="579"/>
    <cellStyle name="Comma 191" xfId="580"/>
    <cellStyle name="Comma 192" xfId="581"/>
    <cellStyle name="Comma 193" xfId="582"/>
    <cellStyle name="Comma 194" xfId="583"/>
    <cellStyle name="Comma 195" xfId="584"/>
    <cellStyle name="Comma 196" xfId="585"/>
    <cellStyle name="Comma 197" xfId="586"/>
    <cellStyle name="Comma 198" xfId="587"/>
    <cellStyle name="Comma 199" xfId="588"/>
    <cellStyle name="Comma 2" xfId="589"/>
    <cellStyle name="Comma 2 2" xfId="590"/>
    <cellStyle name="Comma 2 2 2" xfId="591"/>
    <cellStyle name="Comma 2 3" xfId="592"/>
    <cellStyle name="Comma 2 3 2" xfId="593"/>
    <cellStyle name="Comma 2 3 3" xfId="594"/>
    <cellStyle name="Comma 2 3 4" xfId="595"/>
    <cellStyle name="Comma 2 3 5" xfId="596"/>
    <cellStyle name="Comma 2 4" xfId="597"/>
    <cellStyle name="Comma 20" xfId="598"/>
    <cellStyle name="Comma 20 2" xfId="599"/>
    <cellStyle name="Comma 20 3" xfId="600"/>
    <cellStyle name="Comma 200" xfId="601"/>
    <cellStyle name="Comma 201" xfId="602"/>
    <cellStyle name="Comma 202" xfId="603"/>
    <cellStyle name="Comma 203" xfId="604"/>
    <cellStyle name="Comma 204" xfId="605"/>
    <cellStyle name="Comma 205" xfId="606"/>
    <cellStyle name="Comma 206" xfId="607"/>
    <cellStyle name="Comma 207" xfId="608"/>
    <cellStyle name="Comma 208" xfId="609"/>
    <cellStyle name="Comma 209" xfId="610"/>
    <cellStyle name="Comma 21" xfId="611"/>
    <cellStyle name="Comma 21 2" xfId="612"/>
    <cellStyle name="Comma 210" xfId="613"/>
    <cellStyle name="Comma 211" xfId="614"/>
    <cellStyle name="Comma 212" xfId="615"/>
    <cellStyle name="Comma 213" xfId="616"/>
    <cellStyle name="Comma 214" xfId="617"/>
    <cellStyle name="Comma 215" xfId="618"/>
    <cellStyle name="Comma 22" xfId="619"/>
    <cellStyle name="Comma 22 2" xfId="620"/>
    <cellStyle name="Comma 22 3" xfId="621"/>
    <cellStyle name="Comma 23" xfId="622"/>
    <cellStyle name="Comma 23 2" xfId="623"/>
    <cellStyle name="Comma 23 3" xfId="624"/>
    <cellStyle name="Comma 24" xfId="625"/>
    <cellStyle name="Comma 24 2" xfId="626"/>
    <cellStyle name="Comma 24 3" xfId="627"/>
    <cellStyle name="Comma 25" xfId="628"/>
    <cellStyle name="Comma 25 2" xfId="629"/>
    <cellStyle name="Comma 26" xfId="630"/>
    <cellStyle name="Comma 26 2" xfId="631"/>
    <cellStyle name="Comma 27" xfId="632"/>
    <cellStyle name="Comma 27 2" xfId="633"/>
    <cellStyle name="Comma 28" xfId="634"/>
    <cellStyle name="Comma 28 2" xfId="635"/>
    <cellStyle name="Comma 29" xfId="636"/>
    <cellStyle name="Comma 29 2" xfId="637"/>
    <cellStyle name="Comma 3" xfId="638"/>
    <cellStyle name="Comma 3 10" xfId="639"/>
    <cellStyle name="Comma 3 10 2" xfId="640"/>
    <cellStyle name="Comma 3 10 3" xfId="641"/>
    <cellStyle name="Comma 3 11" xfId="642"/>
    <cellStyle name="Comma 3 11 2" xfId="643"/>
    <cellStyle name="Comma 3 12" xfId="644"/>
    <cellStyle name="Comma 3 12 2" xfId="645"/>
    <cellStyle name="Comma 3 13" xfId="646"/>
    <cellStyle name="Comma 3 13 2" xfId="647"/>
    <cellStyle name="Comma 3 14" xfId="648"/>
    <cellStyle name="Comma 3 14 2" xfId="649"/>
    <cellStyle name="Comma 3 14 3" xfId="650"/>
    <cellStyle name="Comma 3 14 4" xfId="651"/>
    <cellStyle name="Comma 3 14 5" xfId="652"/>
    <cellStyle name="Comma 3 15" xfId="653"/>
    <cellStyle name="Comma 3 15 2" xfId="654"/>
    <cellStyle name="Comma 3 15 3" xfId="655"/>
    <cellStyle name="Comma 3 15 4" xfId="656"/>
    <cellStyle name="Comma 3 16" xfId="657"/>
    <cellStyle name="Comma 3 17" xfId="658"/>
    <cellStyle name="Comma 3 18" xfId="659"/>
    <cellStyle name="Comma 3 19" xfId="660"/>
    <cellStyle name="Comma 3 2" xfId="661"/>
    <cellStyle name="Comma 3 2 2" xfId="662"/>
    <cellStyle name="Comma 3 3" xfId="663"/>
    <cellStyle name="Comma 3 3 2" xfId="664"/>
    <cellStyle name="Comma 3 3 2 2" xfId="665"/>
    <cellStyle name="Comma 3 3 2 3" xfId="666"/>
    <cellStyle name="Comma 3 3 3" xfId="667"/>
    <cellStyle name="Comma 3 3 3 2" xfId="668"/>
    <cellStyle name="Comma 3 3 3 2 2" xfId="669"/>
    <cellStyle name="Comma 3 3 3 2 3" xfId="670"/>
    <cellStyle name="Comma 3 3 3 2 4" xfId="671"/>
    <cellStyle name="Comma 3 3 3 2 5" xfId="672"/>
    <cellStyle name="Comma 3 3 3 3" xfId="673"/>
    <cellStyle name="Comma 3 3 4" xfId="674"/>
    <cellStyle name="Comma 3 3 5" xfId="675"/>
    <cellStyle name="Comma 3 3 5 2" xfId="676"/>
    <cellStyle name="Comma 3 3 5 3" xfId="677"/>
    <cellStyle name="Comma 3 3 5 4" xfId="678"/>
    <cellStyle name="Comma 3 3 5 5" xfId="679"/>
    <cellStyle name="Comma 3 3 6" xfId="680"/>
    <cellStyle name="Comma 3 3 7" xfId="681"/>
    <cellStyle name="Comma 3 4" xfId="682"/>
    <cellStyle name="Comma 3 4 2" xfId="683"/>
    <cellStyle name="Comma 3 4 3" xfId="684"/>
    <cellStyle name="Comma 3 4 4" xfId="685"/>
    <cellStyle name="Comma 3 4 4 2" xfId="686"/>
    <cellStyle name="Comma 3 4 4 3" xfId="687"/>
    <cellStyle name="Comma 3 4 4 4" xfId="688"/>
    <cellStyle name="Comma 3 4 4 5" xfId="689"/>
    <cellStyle name="Comma 3 4 5" xfId="690"/>
    <cellStyle name="Comma 3 5" xfId="691"/>
    <cellStyle name="Comma 3 5 2" xfId="692"/>
    <cellStyle name="Comma 3 5 3" xfId="693"/>
    <cellStyle name="Comma 3 5 3 2" xfId="694"/>
    <cellStyle name="Comma 3 5 3 3" xfId="695"/>
    <cellStyle name="Comma 3 6" xfId="696"/>
    <cellStyle name="Comma 3 6 2" xfId="697"/>
    <cellStyle name="Comma 3 6 3" xfId="698"/>
    <cellStyle name="Comma 3 6 4" xfId="699"/>
    <cellStyle name="Comma 3 6 4 2" xfId="700"/>
    <cellStyle name="Comma 3 6 4 3" xfId="701"/>
    <cellStyle name="Comma 3 6 4 4" xfId="702"/>
    <cellStyle name="Comma 3 7" xfId="703"/>
    <cellStyle name="Comma 3 7 2" xfId="704"/>
    <cellStyle name="Comma 3 7 3" xfId="705"/>
    <cellStyle name="Comma 3 7 4" xfId="706"/>
    <cellStyle name="Comma 3 7 4 2" xfId="707"/>
    <cellStyle name="Comma 3 7 4 3" xfId="708"/>
    <cellStyle name="Comma 3 7 4 4" xfId="709"/>
    <cellStyle name="Comma 3 8" xfId="710"/>
    <cellStyle name="Comma 3 8 2" xfId="711"/>
    <cellStyle name="Comma 3 8 3" xfId="712"/>
    <cellStyle name="Comma 3 8 4" xfId="713"/>
    <cellStyle name="Comma 3 8 4 2" xfId="714"/>
    <cellStyle name="Comma 3 8 4 3" xfId="715"/>
    <cellStyle name="Comma 3 8 4 4" xfId="716"/>
    <cellStyle name="Comma 3 9" xfId="717"/>
    <cellStyle name="Comma 3 9 2" xfId="718"/>
    <cellStyle name="Comma 3 9 3" xfId="719"/>
    <cellStyle name="Comma 3 9 4" xfId="720"/>
    <cellStyle name="Comma 3 9 4 2" xfId="721"/>
    <cellStyle name="Comma 3 9 4 3" xfId="722"/>
    <cellStyle name="Comma 3 9 4 4" xfId="723"/>
    <cellStyle name="Comma 30" xfId="724"/>
    <cellStyle name="Comma 30 2" xfId="725"/>
    <cellStyle name="Comma 30 3" xfId="726"/>
    <cellStyle name="Comma 30 4" xfId="727"/>
    <cellStyle name="Comma 31" xfId="728"/>
    <cellStyle name="Comma 31 2" xfId="729"/>
    <cellStyle name="Comma 31 3" xfId="730"/>
    <cellStyle name="Comma 31 4" xfId="731"/>
    <cellStyle name="Comma 32" xfId="732"/>
    <cellStyle name="Comma 33" xfId="733"/>
    <cellStyle name="Comma 34" xfId="734"/>
    <cellStyle name="Comma 34 2" xfId="735"/>
    <cellStyle name="Comma 34 3" xfId="736"/>
    <cellStyle name="Comma 34 4" xfId="737"/>
    <cellStyle name="Comma 35" xfId="738"/>
    <cellStyle name="Comma 35 2" xfId="739"/>
    <cellStyle name="Comma 35 3" xfId="740"/>
    <cellStyle name="Comma 35 4" xfId="741"/>
    <cellStyle name="Comma 36" xfId="742"/>
    <cellStyle name="Comma 36 2" xfId="743"/>
    <cellStyle name="Comma 36 3" xfId="744"/>
    <cellStyle name="Comma 37" xfId="745"/>
    <cellStyle name="Comma 37 2" xfId="746"/>
    <cellStyle name="Comma 37 3" xfId="747"/>
    <cellStyle name="Comma 38" xfId="748"/>
    <cellStyle name="Comma 38 2" xfId="749"/>
    <cellStyle name="Comma 38 3" xfId="750"/>
    <cellStyle name="Comma 39" xfId="751"/>
    <cellStyle name="Comma 4" xfId="752"/>
    <cellStyle name="Comma 4 2" xfId="753"/>
    <cellStyle name="Comma 4 2 2" xfId="754"/>
    <cellStyle name="Comma 4 2 2 2" xfId="755"/>
    <cellStyle name="Comma 4 2 2 3" xfId="756"/>
    <cellStyle name="Comma 4 2 2 4" xfId="757"/>
    <cellStyle name="Comma 4 2 2 5" xfId="758"/>
    <cellStyle name="Comma 4 2 3" xfId="759"/>
    <cellStyle name="Comma 4 2 3 2" xfId="760"/>
    <cellStyle name="Comma 4 2 3 2 2" xfId="761"/>
    <cellStyle name="Comma 4 2 3 3" xfId="762"/>
    <cellStyle name="Comma 4 2 3 3 2" xfId="763"/>
    <cellStyle name="Comma 4 2 3 4" xfId="764"/>
    <cellStyle name="Comma 4 2 4" xfId="765"/>
    <cellStyle name="Comma 4 2 4 2" xfId="766"/>
    <cellStyle name="Comma 4 2 4 3" xfId="767"/>
    <cellStyle name="Comma 4 2 4 4" xfId="768"/>
    <cellStyle name="Comma 4 2 5" xfId="769"/>
    <cellStyle name="Comma 4 2 6" xfId="770"/>
    <cellStyle name="Comma 4 2 7" xfId="771"/>
    <cellStyle name="Comma 4 2 7 2" xfId="772"/>
    <cellStyle name="Comma 4 2 7 3" xfId="773"/>
    <cellStyle name="Comma 4 3" xfId="774"/>
    <cellStyle name="Comma 4 3 2" xfId="775"/>
    <cellStyle name="Comma 4 3 2 2" xfId="776"/>
    <cellStyle name="Comma 4 3 2 2 2" xfId="777"/>
    <cellStyle name="Comma 4 3 2 3" xfId="778"/>
    <cellStyle name="Comma 4 3 2 3 2" xfId="779"/>
    <cellStyle name="Comma 4 3 2 4" xfId="780"/>
    <cellStyle name="Comma 4 3 3" xfId="781"/>
    <cellStyle name="Comma 4 3 4" xfId="782"/>
    <cellStyle name="Comma 4 3 4 2" xfId="783"/>
    <cellStyle name="Comma 4 3 4 3" xfId="784"/>
    <cellStyle name="Comma 4 3 5" xfId="785"/>
    <cellStyle name="Comma 4 3 5 2" xfId="786"/>
    <cellStyle name="Comma 4 3 6" xfId="787"/>
    <cellStyle name="Comma 4 3 6 2" xfId="788"/>
    <cellStyle name="Comma 4 3 7" xfId="789"/>
    <cellStyle name="Comma 4 3 8" xfId="790"/>
    <cellStyle name="Comma 4 4" xfId="791"/>
    <cellStyle name="Comma 4 4 2" xfId="792"/>
    <cellStyle name="Comma 4 4 3" xfId="793"/>
    <cellStyle name="Comma 4 4 4" xfId="794"/>
    <cellStyle name="Comma 4 4 5" xfId="795"/>
    <cellStyle name="Comma 4 5" xfId="796"/>
    <cellStyle name="Comma 4 5 2" xfId="797"/>
    <cellStyle name="Comma 4 6" xfId="798"/>
    <cellStyle name="Comma 4 7" xfId="799"/>
    <cellStyle name="Comma 4 7 2" xfId="800"/>
    <cellStyle name="Comma 4 7 3" xfId="801"/>
    <cellStyle name="Comma 40" xfId="802"/>
    <cellStyle name="Comma 41" xfId="803"/>
    <cellStyle name="Comma 42" xfId="804"/>
    <cellStyle name="Comma 42 2" xfId="805"/>
    <cellStyle name="Comma 42 3" xfId="806"/>
    <cellStyle name="Comma 43" xfId="807"/>
    <cellStyle name="Comma 43 2" xfId="808"/>
    <cellStyle name="Comma 43 3" xfId="809"/>
    <cellStyle name="Comma 44" xfId="810"/>
    <cellStyle name="Comma 44 2" xfId="811"/>
    <cellStyle name="Comma 44 3" xfId="812"/>
    <cellStyle name="Comma 45" xfId="813"/>
    <cellStyle name="Comma 45 2" xfId="814"/>
    <cellStyle name="Comma 45 3" xfId="815"/>
    <cellStyle name="Comma 46" xfId="816"/>
    <cellStyle name="Comma 46 2" xfId="817"/>
    <cellStyle name="Comma 47" xfId="818"/>
    <cellStyle name="Comma 47 2" xfId="819"/>
    <cellStyle name="Comma 48" xfId="820"/>
    <cellStyle name="Comma 48 2" xfId="821"/>
    <cellStyle name="Comma 49" xfId="822"/>
    <cellStyle name="Comma 49 2" xfId="823"/>
    <cellStyle name="Comma 5" xfId="824"/>
    <cellStyle name="Comma 5 2" xfId="825"/>
    <cellStyle name="Comma 5 2 2" xfId="826"/>
    <cellStyle name="Comma 5 2 3" xfId="827"/>
    <cellStyle name="Comma 5 2 4" xfId="828"/>
    <cellStyle name="Comma 5 2 5" xfId="829"/>
    <cellStyle name="Comma 5 3" xfId="830"/>
    <cellStyle name="Comma 5 4" xfId="831"/>
    <cellStyle name="Comma 5 5" xfId="832"/>
    <cellStyle name="Comma 50" xfId="833"/>
    <cellStyle name="Comma 51" xfId="834"/>
    <cellStyle name="Comma 51 2" xfId="835"/>
    <cellStyle name="Comma 51 3" xfId="836"/>
    <cellStyle name="Comma 52" xfId="837"/>
    <cellStyle name="Comma 52 2" xfId="838"/>
    <cellStyle name="Comma 53" xfId="839"/>
    <cellStyle name="Comma 54" xfId="840"/>
    <cellStyle name="Comma 55" xfId="841"/>
    <cellStyle name="Comma 56" xfId="842"/>
    <cellStyle name="Comma 57" xfId="843"/>
    <cellStyle name="Comma 57 2" xfId="844"/>
    <cellStyle name="Comma 57 3" xfId="845"/>
    <cellStyle name="Comma 57 4" xfId="846"/>
    <cellStyle name="Comma 57 5" xfId="847"/>
    <cellStyle name="Comma 58" xfId="848"/>
    <cellStyle name="Comma 58 2" xfId="849"/>
    <cellStyle name="Comma 58 3" xfId="850"/>
    <cellStyle name="Comma 58 4" xfId="851"/>
    <cellStyle name="Comma 58 5" xfId="852"/>
    <cellStyle name="Comma 59" xfId="853"/>
    <cellStyle name="Comma 59 2" xfId="854"/>
    <cellStyle name="Comma 59 3" xfId="855"/>
    <cellStyle name="Comma 59 4" xfId="856"/>
    <cellStyle name="Comma 59 5" xfId="857"/>
    <cellStyle name="Comma 6" xfId="858"/>
    <cellStyle name="Comma 6 10" xfId="859"/>
    <cellStyle name="Comma 6 2" xfId="860"/>
    <cellStyle name="Comma 6 2 2" xfId="861"/>
    <cellStyle name="Comma 6 2 3" xfId="862"/>
    <cellStyle name="Comma 6 3" xfId="863"/>
    <cellStyle name="Comma 6 4" xfId="864"/>
    <cellStyle name="Comma 6 4 2" xfId="865"/>
    <cellStyle name="Comma 6 4 3" xfId="866"/>
    <cellStyle name="Comma 6 4 4" xfId="867"/>
    <cellStyle name="Comma 6 4 5" xfId="868"/>
    <cellStyle name="Comma 6 5" xfId="869"/>
    <cellStyle name="Comma 6 6" xfId="870"/>
    <cellStyle name="Comma 6 7" xfId="871"/>
    <cellStyle name="Comma 6 7 2" xfId="872"/>
    <cellStyle name="Comma 6 7 3" xfId="873"/>
    <cellStyle name="Comma 6 8" xfId="874"/>
    <cellStyle name="Comma 6 9" xfId="875"/>
    <cellStyle name="Comma 60" xfId="876"/>
    <cellStyle name="Comma 60 2" xfId="877"/>
    <cellStyle name="Comma 60 3" xfId="878"/>
    <cellStyle name="Comma 60 4" xfId="879"/>
    <cellStyle name="Comma 60 5" xfId="880"/>
    <cellStyle name="Comma 61" xfId="881"/>
    <cellStyle name="Comma 61 2" xfId="882"/>
    <cellStyle name="Comma 61 3" xfId="883"/>
    <cellStyle name="Comma 61 4" xfId="884"/>
    <cellStyle name="Comma 61 5" xfId="885"/>
    <cellStyle name="Comma 62" xfId="886"/>
    <cellStyle name="Comma 62 2" xfId="887"/>
    <cellStyle name="Comma 62 3" xfId="888"/>
    <cellStyle name="Comma 62 4" xfId="889"/>
    <cellStyle name="Comma 63" xfId="890"/>
    <cellStyle name="Comma 63 2" xfId="891"/>
    <cellStyle name="Comma 63 3" xfId="892"/>
    <cellStyle name="Comma 63 4" xfId="893"/>
    <cellStyle name="Comma 64" xfId="894"/>
    <cellStyle name="Comma 64 2" xfId="895"/>
    <cellStyle name="Comma 64 3" xfId="896"/>
    <cellStyle name="Comma 64 4" xfId="897"/>
    <cellStyle name="Comma 65" xfId="898"/>
    <cellStyle name="Comma 65 2" xfId="899"/>
    <cellStyle name="Comma 65 3" xfId="900"/>
    <cellStyle name="Comma 65 4" xfId="901"/>
    <cellStyle name="Comma 66" xfId="902"/>
    <cellStyle name="Comma 66 2" xfId="903"/>
    <cellStyle name="Comma 66 3" xfId="904"/>
    <cellStyle name="Comma 66 4" xfId="905"/>
    <cellStyle name="Comma 67" xfId="906"/>
    <cellStyle name="Comma 67 2" xfId="907"/>
    <cellStyle name="Comma 67 3" xfId="908"/>
    <cellStyle name="Comma 67 4" xfId="909"/>
    <cellStyle name="Comma 68" xfId="910"/>
    <cellStyle name="Comma 68 2" xfId="911"/>
    <cellStyle name="Comma 68 3" xfId="912"/>
    <cellStyle name="Comma 68 4" xfId="913"/>
    <cellStyle name="Comma 69" xfId="914"/>
    <cellStyle name="Comma 69 2" xfId="915"/>
    <cellStyle name="Comma 7" xfId="916"/>
    <cellStyle name="Comma 7 2" xfId="917"/>
    <cellStyle name="Comma 7 2 2" xfId="918"/>
    <cellStyle name="Comma 7 2 3" xfId="919"/>
    <cellStyle name="Comma 7 3" xfId="920"/>
    <cellStyle name="Comma 7 4" xfId="921"/>
    <cellStyle name="Comma 70" xfId="922"/>
    <cellStyle name="Comma 70 2" xfId="923"/>
    <cellStyle name="Comma 71" xfId="924"/>
    <cellStyle name="Comma 71 2" xfId="925"/>
    <cellStyle name="Comma 72" xfId="926"/>
    <cellStyle name="Comma 72 2" xfId="927"/>
    <cellStyle name="Comma 72 3" xfId="928"/>
    <cellStyle name="Comma 72 4" xfId="929"/>
    <cellStyle name="Comma 72 4 2" xfId="930"/>
    <cellStyle name="Comma 72 4 3" xfId="931"/>
    <cellStyle name="Comma 72 4 4" xfId="932"/>
    <cellStyle name="Comma 73" xfId="933"/>
    <cellStyle name="Comma 73 2" xfId="934"/>
    <cellStyle name="Comma 73 3" xfId="935"/>
    <cellStyle name="Comma 73 4" xfId="936"/>
    <cellStyle name="Comma 73 4 2" xfId="937"/>
    <cellStyle name="Comma 73 4 3" xfId="938"/>
    <cellStyle name="Comma 73 4 4" xfId="939"/>
    <cellStyle name="Comma 74" xfId="940"/>
    <cellStyle name="Comma 74 2" xfId="941"/>
    <cellStyle name="Comma 74 3" xfId="942"/>
    <cellStyle name="Comma 74 4" xfId="943"/>
    <cellStyle name="Comma 74 4 2" xfId="944"/>
    <cellStyle name="Comma 74 4 3" xfId="945"/>
    <cellStyle name="Comma 74 4 4" xfId="946"/>
    <cellStyle name="Comma 75" xfId="947"/>
    <cellStyle name="Comma 75 2" xfId="948"/>
    <cellStyle name="Comma 75 3" xfId="949"/>
    <cellStyle name="Comma 75 4" xfId="950"/>
    <cellStyle name="Comma 75 4 2" xfId="951"/>
    <cellStyle name="Comma 75 4 3" xfId="952"/>
    <cellStyle name="Comma 75 4 4" xfId="953"/>
    <cellStyle name="Comma 76" xfId="954"/>
    <cellStyle name="Comma 76 2" xfId="955"/>
    <cellStyle name="Comma 76 3" xfId="956"/>
    <cellStyle name="Comma 76 4" xfId="957"/>
    <cellStyle name="Comma 76 4 2" xfId="958"/>
    <cellStyle name="Comma 76 4 3" xfId="959"/>
    <cellStyle name="Comma 76 4 4" xfId="960"/>
    <cellStyle name="Comma 77" xfId="961"/>
    <cellStyle name="Comma 77 2" xfId="962"/>
    <cellStyle name="Comma 77 3" xfId="963"/>
    <cellStyle name="Comma 77 4" xfId="964"/>
    <cellStyle name="Comma 77 4 2" xfId="965"/>
    <cellStyle name="Comma 77 4 3" xfId="966"/>
    <cellStyle name="Comma 77 4 4" xfId="967"/>
    <cellStyle name="Comma 78" xfId="968"/>
    <cellStyle name="Comma 78 2" xfId="969"/>
    <cellStyle name="Comma 78 3" xfId="970"/>
    <cellStyle name="Comma 78 4" xfId="971"/>
    <cellStyle name="Comma 78 4 2" xfId="972"/>
    <cellStyle name="Comma 78 4 3" xfId="973"/>
    <cellStyle name="Comma 78 4 4" xfId="974"/>
    <cellStyle name="Comma 79" xfId="975"/>
    <cellStyle name="Comma 79 2" xfId="976"/>
    <cellStyle name="Comma 79 3" xfId="977"/>
    <cellStyle name="Comma 79 4" xfId="978"/>
    <cellStyle name="Comma 79 4 2" xfId="979"/>
    <cellStyle name="Comma 79 4 3" xfId="980"/>
    <cellStyle name="Comma 79 4 4" xfId="981"/>
    <cellStyle name="Comma 8" xfId="982"/>
    <cellStyle name="Comma 8 2" xfId="983"/>
    <cellStyle name="Comma 80" xfId="984"/>
    <cellStyle name="Comma 80 2" xfId="985"/>
    <cellStyle name="Comma 80 3" xfId="986"/>
    <cellStyle name="Comma 80 4" xfId="987"/>
    <cellStyle name="Comma 80 4 2" xfId="988"/>
    <cellStyle name="Comma 80 4 3" xfId="989"/>
    <cellStyle name="Comma 80 4 4" xfId="990"/>
    <cellStyle name="Comma 81" xfId="991"/>
    <cellStyle name="Comma 81 2" xfId="992"/>
    <cellStyle name="Comma 81 3" xfId="993"/>
    <cellStyle name="Comma 81 4" xfId="994"/>
    <cellStyle name="Comma 81 4 2" xfId="995"/>
    <cellStyle name="Comma 81 4 3" xfId="996"/>
    <cellStyle name="Comma 81 4 4" xfId="997"/>
    <cellStyle name="Comma 82" xfId="998"/>
    <cellStyle name="Comma 82 2" xfId="999"/>
    <cellStyle name="Comma 82 3" xfId="1000"/>
    <cellStyle name="Comma 82 4" xfId="1001"/>
    <cellStyle name="Comma 82 4 2" xfId="1002"/>
    <cellStyle name="Comma 82 4 3" xfId="1003"/>
    <cellStyle name="Comma 82 4 4" xfId="1004"/>
    <cellStyle name="Comma 83" xfId="1005"/>
    <cellStyle name="Comma 83 2" xfId="1006"/>
    <cellStyle name="Comma 83 3" xfId="1007"/>
    <cellStyle name="Comma 83 4" xfId="1008"/>
    <cellStyle name="Comma 83 4 2" xfId="1009"/>
    <cellStyle name="Comma 83 4 3" xfId="1010"/>
    <cellStyle name="Comma 83 4 4" xfId="1011"/>
    <cellStyle name="Comma 84" xfId="1012"/>
    <cellStyle name="Comma 84 2" xfId="1013"/>
    <cellStyle name="Comma 84 3" xfId="1014"/>
    <cellStyle name="Comma 84 4" xfId="1015"/>
    <cellStyle name="Comma 84 4 2" xfId="1016"/>
    <cellStyle name="Comma 84 4 3" xfId="1017"/>
    <cellStyle name="Comma 84 4 4" xfId="1018"/>
    <cellStyle name="Comma 85" xfId="1019"/>
    <cellStyle name="Comma 85 2" xfId="1020"/>
    <cellStyle name="Comma 85 3" xfId="1021"/>
    <cellStyle name="Comma 85 4" xfId="1022"/>
    <cellStyle name="Comma 85 4 2" xfId="1023"/>
    <cellStyle name="Comma 85 4 3" xfId="1024"/>
    <cellStyle name="Comma 85 4 4" xfId="1025"/>
    <cellStyle name="Comma 86" xfId="1026"/>
    <cellStyle name="Comma 86 2" xfId="1027"/>
    <cellStyle name="Comma 86 3" xfId="1028"/>
    <cellStyle name="Comma 86 4" xfId="1029"/>
    <cellStyle name="Comma 86 4 2" xfId="1030"/>
    <cellStyle name="Comma 86 4 3" xfId="1031"/>
    <cellStyle name="Comma 86 4 4" xfId="1032"/>
    <cellStyle name="Comma 87" xfId="1033"/>
    <cellStyle name="Comma 87 2" xfId="1034"/>
    <cellStyle name="Comma 87 3" xfId="1035"/>
    <cellStyle name="Comma 87 4" xfId="1036"/>
    <cellStyle name="Comma 87 4 2" xfId="1037"/>
    <cellStyle name="Comma 87 4 3" xfId="1038"/>
    <cellStyle name="Comma 87 4 4" xfId="1039"/>
    <cellStyle name="Comma 88" xfId="1040"/>
    <cellStyle name="Comma 88 2" xfId="1041"/>
    <cellStyle name="Comma 88 3" xfId="1042"/>
    <cellStyle name="Comma 88 4" xfId="1043"/>
    <cellStyle name="Comma 88 4 2" xfId="1044"/>
    <cellStyle name="Comma 88 4 3" xfId="1045"/>
    <cellStyle name="Comma 88 4 4" xfId="1046"/>
    <cellStyle name="Comma 89" xfId="1047"/>
    <cellStyle name="Comma 89 2" xfId="1048"/>
    <cellStyle name="Comma 89 3" xfId="1049"/>
    <cellStyle name="Comma 89 4" xfId="1050"/>
    <cellStyle name="Comma 89 4 2" xfId="1051"/>
    <cellStyle name="Comma 89 4 3" xfId="1052"/>
    <cellStyle name="Comma 89 4 4" xfId="1053"/>
    <cellStyle name="Comma 9" xfId="1054"/>
    <cellStyle name="Comma 9 2" xfId="1055"/>
    <cellStyle name="Comma 90" xfId="1056"/>
    <cellStyle name="Comma 90 2" xfId="1057"/>
    <cellStyle name="Comma 91" xfId="1058"/>
    <cellStyle name="Comma 91 2" xfId="1059"/>
    <cellStyle name="Comma 92" xfId="1060"/>
    <cellStyle name="Comma 92 2" xfId="1061"/>
    <cellStyle name="Comma 92 3" xfId="1062"/>
    <cellStyle name="Comma 93" xfId="1063"/>
    <cellStyle name="Comma 93 2" xfId="1064"/>
    <cellStyle name="Comma 93 3" xfId="1065"/>
    <cellStyle name="Comma 94" xfId="1066"/>
    <cellStyle name="Comma 95" xfId="1067"/>
    <cellStyle name="Comma 96" xfId="1068"/>
    <cellStyle name="Comma 97" xfId="1069"/>
    <cellStyle name="Comma 98" xfId="1070"/>
    <cellStyle name="Comma 99" xfId="1071"/>
    <cellStyle name="Comma_spp calc - revsd rev crd" xfId="1072"/>
    <cellStyle name="Comma_spp calc - revsd rev crd 3" xfId="1073"/>
    <cellStyle name="Comma0" xfId="1074"/>
    <cellStyle name="Comma0 2" xfId="1075"/>
    <cellStyle name="Comma0 2 2" xfId="1076"/>
    <cellStyle name="Comma0 2 3" xfId="1077"/>
    <cellStyle name="Comma0 2 4" xfId="1078"/>
    <cellStyle name="Comma0 2 5" xfId="1079"/>
    <cellStyle name="Comma0 2 6" xfId="1080"/>
    <cellStyle name="Comma0 3" xfId="1081"/>
    <cellStyle name="Currency 10" xfId="1082"/>
    <cellStyle name="Currency 10 2" xfId="1083"/>
    <cellStyle name="Currency 10 3" xfId="1084"/>
    <cellStyle name="Currency 10 4" xfId="1085"/>
    <cellStyle name="Currency 10 4 2" xfId="1086"/>
    <cellStyle name="Currency 10 4 3" xfId="1087"/>
    <cellStyle name="Currency 10 4 4" xfId="1088"/>
    <cellStyle name="Currency 11" xfId="1089"/>
    <cellStyle name="Currency 11 2" xfId="1090"/>
    <cellStyle name="Currency 11 3" xfId="1091"/>
    <cellStyle name="Currency 12" xfId="1092"/>
    <cellStyle name="Currency 12 2" xfId="1093"/>
    <cellStyle name="Currency 13" xfId="1094"/>
    <cellStyle name="Currency 13 2" xfId="1095"/>
    <cellStyle name="Currency 13 3" xfId="1096"/>
    <cellStyle name="Currency 13 4" xfId="1097"/>
    <cellStyle name="Currency 13 5" xfId="1098"/>
    <cellStyle name="Currency 14" xfId="1099"/>
    <cellStyle name="Currency 15" xfId="1100"/>
    <cellStyle name="Currency 16" xfId="1101"/>
    <cellStyle name="Currency 2" xfId="1102"/>
    <cellStyle name="Currency 2 2" xfId="1103"/>
    <cellStyle name="Currency 2 2 2" xfId="1104"/>
    <cellStyle name="Currency 2 3" xfId="1105"/>
    <cellStyle name="Currency 3" xfId="1106"/>
    <cellStyle name="Currency 3 10" xfId="1107"/>
    <cellStyle name="Currency 3 10 2" xfId="1108"/>
    <cellStyle name="Currency 3 10 3" xfId="1109"/>
    <cellStyle name="Currency 3 11" xfId="1110"/>
    <cellStyle name="Currency 3 11 2" xfId="1111"/>
    <cellStyle name="Currency 3 12" xfId="1112"/>
    <cellStyle name="Currency 3 12 2" xfId="1113"/>
    <cellStyle name="Currency 3 13" xfId="1114"/>
    <cellStyle name="Currency 3 13 2" xfId="1115"/>
    <cellStyle name="Currency 3 14" xfId="1116"/>
    <cellStyle name="Currency 3 14 2" xfId="1117"/>
    <cellStyle name="Currency 3 14 3" xfId="1118"/>
    <cellStyle name="Currency 3 14 4" xfId="1119"/>
    <cellStyle name="Currency 3 14 5" xfId="1120"/>
    <cellStyle name="Currency 3 15" xfId="1121"/>
    <cellStyle name="Currency 3 15 2" xfId="1122"/>
    <cellStyle name="Currency 3 15 3" xfId="1123"/>
    <cellStyle name="Currency 3 15 4" xfId="1124"/>
    <cellStyle name="Currency 3 16" xfId="1125"/>
    <cellStyle name="Currency 3 17" xfId="1126"/>
    <cellStyle name="Currency 3 18" xfId="1127"/>
    <cellStyle name="Currency 3 19" xfId="1128"/>
    <cellStyle name="Currency 3 2" xfId="1129"/>
    <cellStyle name="Currency 3 2 2" xfId="1130"/>
    <cellStyle name="Currency 3 20" xfId="1131"/>
    <cellStyle name="Currency 3 3" xfId="1132"/>
    <cellStyle name="Currency 3 3 2" xfId="1133"/>
    <cellStyle name="Currency 3 3 2 2" xfId="1134"/>
    <cellStyle name="Currency 3 3 2 3" xfId="1135"/>
    <cellStyle name="Currency 3 3 3" xfId="1136"/>
    <cellStyle name="Currency 3 3 3 2" xfId="1137"/>
    <cellStyle name="Currency 3 3 3 2 2" xfId="1138"/>
    <cellStyle name="Currency 3 3 3 2 3" xfId="1139"/>
    <cellStyle name="Currency 3 3 3 2 4" xfId="1140"/>
    <cellStyle name="Currency 3 3 3 2 5" xfId="1141"/>
    <cellStyle name="Currency 3 3 3 3" xfId="1142"/>
    <cellStyle name="Currency 3 3 4" xfId="1143"/>
    <cellStyle name="Currency 3 3 5" xfId="1144"/>
    <cellStyle name="Currency 3 3 5 2" xfId="1145"/>
    <cellStyle name="Currency 3 3 5 3" xfId="1146"/>
    <cellStyle name="Currency 3 3 5 4" xfId="1147"/>
    <cellStyle name="Currency 3 3 5 5" xfId="1148"/>
    <cellStyle name="Currency 3 3 6" xfId="1149"/>
    <cellStyle name="Currency 3 3 7" xfId="1150"/>
    <cellStyle name="Currency 3 4" xfId="1151"/>
    <cellStyle name="Currency 3 4 2" xfId="1152"/>
    <cellStyle name="Currency 3 4 3" xfId="1153"/>
    <cellStyle name="Currency 3 4 4" xfId="1154"/>
    <cellStyle name="Currency 3 4 4 2" xfId="1155"/>
    <cellStyle name="Currency 3 4 4 3" xfId="1156"/>
    <cellStyle name="Currency 3 4 4 4" xfId="1157"/>
    <cellStyle name="Currency 3 4 4 5" xfId="1158"/>
    <cellStyle name="Currency 3 4 5" xfId="1159"/>
    <cellStyle name="Currency 3 4 6" xfId="1160"/>
    <cellStyle name="Currency 3 4 7" xfId="1161"/>
    <cellStyle name="Currency 3 5" xfId="1162"/>
    <cellStyle name="Currency 3 5 2" xfId="1163"/>
    <cellStyle name="Currency 3 6" xfId="1164"/>
    <cellStyle name="Currency 3 6 2" xfId="1165"/>
    <cellStyle name="Currency 3 6 3" xfId="1166"/>
    <cellStyle name="Currency 3 6 4" xfId="1167"/>
    <cellStyle name="Currency 3 6 4 2" xfId="1168"/>
    <cellStyle name="Currency 3 6 4 3" xfId="1169"/>
    <cellStyle name="Currency 3 6 4 4" xfId="1170"/>
    <cellStyle name="Currency 3 7" xfId="1171"/>
    <cellStyle name="Currency 3 7 2" xfId="1172"/>
    <cellStyle name="Currency 3 7 3" xfId="1173"/>
    <cellStyle name="Currency 3 7 4" xfId="1174"/>
    <cellStyle name="Currency 3 7 4 2" xfId="1175"/>
    <cellStyle name="Currency 3 7 4 3" xfId="1176"/>
    <cellStyle name="Currency 3 7 4 4" xfId="1177"/>
    <cellStyle name="Currency 3 8" xfId="1178"/>
    <cellStyle name="Currency 3 8 2" xfId="1179"/>
    <cellStyle name="Currency 3 8 3" xfId="1180"/>
    <cellStyle name="Currency 3 8 4" xfId="1181"/>
    <cellStyle name="Currency 3 8 4 2" xfId="1182"/>
    <cellStyle name="Currency 3 8 4 3" xfId="1183"/>
    <cellStyle name="Currency 3 8 4 4" xfId="1184"/>
    <cellStyle name="Currency 3 9" xfId="1185"/>
    <cellStyle name="Currency 3 9 2" xfId="1186"/>
    <cellStyle name="Currency 3 9 3" xfId="1187"/>
    <cellStyle name="Currency 3 9 4" xfId="1188"/>
    <cellStyle name="Currency 3 9 4 2" xfId="1189"/>
    <cellStyle name="Currency 3 9 4 3" xfId="1190"/>
    <cellStyle name="Currency 3 9 4 4" xfId="1191"/>
    <cellStyle name="Currency 4" xfId="1192"/>
    <cellStyle name="Currency 4 10" xfId="1193"/>
    <cellStyle name="Currency 4 10 2" xfId="1194"/>
    <cellStyle name="Currency 4 10 2 2" xfId="1195"/>
    <cellStyle name="Currency 4 10 2 2 2" xfId="1196"/>
    <cellStyle name="Currency 4 10 2 3" xfId="1197"/>
    <cellStyle name="Currency 4 10 2 3 2" xfId="1198"/>
    <cellStyle name="Currency 4 10 2 4" xfId="1199"/>
    <cellStyle name="Currency 4 10 2 5" xfId="1200"/>
    <cellStyle name="Currency 4 10 2 6" xfId="1201"/>
    <cellStyle name="Currency 4 10 2 6 2" xfId="1202"/>
    <cellStyle name="Currency 4 10 2 6 3" xfId="1203"/>
    <cellStyle name="Currency 4 10 3" xfId="1204"/>
    <cellStyle name="Currency 4 10 3 2" xfId="1205"/>
    <cellStyle name="Currency 4 10 4" xfId="1206"/>
    <cellStyle name="Currency 4 10 4 2" xfId="1207"/>
    <cellStyle name="Currency 4 10 4 3" xfId="1208"/>
    <cellStyle name="Currency 4 10 5" xfId="1209"/>
    <cellStyle name="Currency 4 10 5 2" xfId="1210"/>
    <cellStyle name="Currency 4 10 6" xfId="1211"/>
    <cellStyle name="Currency 4 2" xfId="1212"/>
    <cellStyle name="Currency 4 2 2" xfId="1213"/>
    <cellStyle name="Currency 4 2 3" xfId="1214"/>
    <cellStyle name="Currency 4 3" xfId="1215"/>
    <cellStyle name="Currency 4 3 2" xfId="1216"/>
    <cellStyle name="Currency 4 3 2 2" xfId="1217"/>
    <cellStyle name="Currency 4 3 2 3" xfId="1218"/>
    <cellStyle name="Currency 4 3 2 4" xfId="1219"/>
    <cellStyle name="Currency 4 3 2 5" xfId="1220"/>
    <cellStyle name="Currency 4 3 3" xfId="1221"/>
    <cellStyle name="Currency 4 4" xfId="1222"/>
    <cellStyle name="Currency 4 5" xfId="1223"/>
    <cellStyle name="Currency 4 5 2" xfId="1224"/>
    <cellStyle name="Currency 4 5 3" xfId="1225"/>
    <cellStyle name="Currency 4 5 4" xfId="1226"/>
    <cellStyle name="Currency 4 5 5" xfId="1227"/>
    <cellStyle name="Currency 5" xfId="1228"/>
    <cellStyle name="Currency 5 2" xfId="1229"/>
    <cellStyle name="Currency 5 3" xfId="1230"/>
    <cellStyle name="Currency 5 4" xfId="1231"/>
    <cellStyle name="Currency 5 4 2" xfId="1232"/>
    <cellStyle name="Currency 5 4 3" xfId="1233"/>
    <cellStyle name="Currency 5 4 4" xfId="1234"/>
    <cellStyle name="Currency 5 4 5" xfId="1235"/>
    <cellStyle name="Currency 5 5" xfId="1236"/>
    <cellStyle name="Currency 6" xfId="1237"/>
    <cellStyle name="Currency 6 2" xfId="1238"/>
    <cellStyle name="Currency 6 2 2" xfId="1239"/>
    <cellStyle name="Currency 6 2 3" xfId="1240"/>
    <cellStyle name="Currency 6 3" xfId="1241"/>
    <cellStyle name="Currency 6 3 2" xfId="1242"/>
    <cellStyle name="Currency 6 3 3" xfId="1243"/>
    <cellStyle name="Currency 6 3 4" xfId="1244"/>
    <cellStyle name="Currency 6 3 5" xfId="1245"/>
    <cellStyle name="Currency 6 4" xfId="1246"/>
    <cellStyle name="Currency 6 4 2" xfId="1247"/>
    <cellStyle name="Currency 6 4 3" xfId="1248"/>
    <cellStyle name="Currency 6 5" xfId="1249"/>
    <cellStyle name="Currency 7" xfId="1250"/>
    <cellStyle name="Currency 7 2" xfId="1251"/>
    <cellStyle name="Currency 7 3" xfId="1252"/>
    <cellStyle name="Currency 7 4" xfId="1253"/>
    <cellStyle name="Currency 7 4 2" xfId="1254"/>
    <cellStyle name="Currency 7 4 3" xfId="1255"/>
    <cellStyle name="Currency 7 4 4" xfId="1256"/>
    <cellStyle name="Currency 7 5" xfId="1257"/>
    <cellStyle name="Currency 7 6" xfId="1258"/>
    <cellStyle name="Currency 8" xfId="1259"/>
    <cellStyle name="Currency 8 2" xfId="1260"/>
    <cellStyle name="Currency 8 3" xfId="1261"/>
    <cellStyle name="Currency 8 4" xfId="1262"/>
    <cellStyle name="Currency 8 4 2" xfId="1263"/>
    <cellStyle name="Currency 8 4 3" xfId="1264"/>
    <cellStyle name="Currency 8 4 4" xfId="1265"/>
    <cellStyle name="Currency 8 5" xfId="1266"/>
    <cellStyle name="Currency 9" xfId="1267"/>
    <cellStyle name="Currency 9 2" xfId="1268"/>
    <cellStyle name="Currency 9 3" xfId="1269"/>
    <cellStyle name="Currency 9 4" xfId="1270"/>
    <cellStyle name="Currency 9 4 2" xfId="1271"/>
    <cellStyle name="Currency 9 4 3" xfId="1272"/>
    <cellStyle name="Currency 9 4 4" xfId="1273"/>
    <cellStyle name="Currency0" xfId="1274"/>
    <cellStyle name="Currency0 2" xfId="1275"/>
    <cellStyle name="Currency0 2 2" xfId="1276"/>
    <cellStyle name="Currency0 2 3" xfId="1277"/>
    <cellStyle name="Currency0 2 4" xfId="1278"/>
    <cellStyle name="Currency0 2 5" xfId="1279"/>
    <cellStyle name="Currency0 2 6" xfId="1280"/>
    <cellStyle name="Currency0 3" xfId="1281"/>
    <cellStyle name="Date" xfId="1282"/>
    <cellStyle name="Date 2" xfId="1283"/>
    <cellStyle name="Date 2 2" xfId="1284"/>
    <cellStyle name="Date 2 3" xfId="1285"/>
    <cellStyle name="Date 2 4" xfId="1286"/>
    <cellStyle name="Date 2 5" xfId="1287"/>
    <cellStyle name="Date 2 6" xfId="1288"/>
    <cellStyle name="Date 3" xfId="1289"/>
    <cellStyle name="Explanatory Text" xfId="1290" builtinId="53" customBuiltin="1"/>
    <cellStyle name="Explanatory Text 2" xfId="1291"/>
    <cellStyle name="Explanatory Text 2 2" xfId="1292"/>
    <cellStyle name="Explanatory Text 2 3" xfId="1293"/>
    <cellStyle name="Explanatory Text 2 4" xfId="1294"/>
    <cellStyle name="Explanatory Text 2 5" xfId="1295"/>
    <cellStyle name="Explanatory Text 2 6" xfId="1296"/>
    <cellStyle name="Explanatory Text 3" xfId="1297"/>
    <cellStyle name="Explanatory Text 4" xfId="1298"/>
    <cellStyle name="Fixed" xfId="1299"/>
    <cellStyle name="Fixed 2" xfId="1300"/>
    <cellStyle name="Fixed 2 2" xfId="1301"/>
    <cellStyle name="Fixed 2 3" xfId="1302"/>
    <cellStyle name="Fixed 2 4" xfId="1303"/>
    <cellStyle name="Fixed 2 5" xfId="1304"/>
    <cellStyle name="Fixed 2 6" xfId="1305"/>
    <cellStyle name="Fixed 3" xfId="1306"/>
    <cellStyle name="Good" xfId="1307" builtinId="26" customBuiltin="1"/>
    <cellStyle name="Good 2" xfId="1308"/>
    <cellStyle name="Good 2 2" xfId="1309"/>
    <cellStyle name="Good 2 3" xfId="1310"/>
    <cellStyle name="Good 2 4" xfId="1311"/>
    <cellStyle name="Good 2 5" xfId="1312"/>
    <cellStyle name="Good 2 6" xfId="1313"/>
    <cellStyle name="Good 3" xfId="1314"/>
    <cellStyle name="Good 4" xfId="1315"/>
    <cellStyle name="Heading 1" xfId="1316" builtinId="16" customBuiltin="1"/>
    <cellStyle name="Heading 1 2" xfId="1317"/>
    <cellStyle name="Heading 1 2 2" xfId="1318"/>
    <cellStyle name="Heading 1 2 3" xfId="1319"/>
    <cellStyle name="Heading 1 2 4" xfId="1320"/>
    <cellStyle name="Heading 1 2 5" xfId="1321"/>
    <cellStyle name="Heading 1 2 6" xfId="1322"/>
    <cellStyle name="Heading 1 2 7" xfId="1323"/>
    <cellStyle name="Heading 1 3" xfId="1324"/>
    <cellStyle name="Heading 1 3 2" xfId="1325"/>
    <cellStyle name="Heading 1 3 3" xfId="1326"/>
    <cellStyle name="Heading 1 3 4" xfId="1327"/>
    <cellStyle name="Heading 1 4" xfId="1328"/>
    <cellStyle name="Heading 2" xfId="1329" builtinId="17" customBuiltin="1"/>
    <cellStyle name="Heading 2 2" xfId="1330"/>
    <cellStyle name="Heading 2 2 2" xfId="1331"/>
    <cellStyle name="Heading 2 2 3" xfId="1332"/>
    <cellStyle name="Heading 2 2 4" xfId="1333"/>
    <cellStyle name="Heading 2 2 5" xfId="1334"/>
    <cellStyle name="Heading 2 2 6" xfId="1335"/>
    <cellStyle name="Heading 2 2 7" xfId="1336"/>
    <cellStyle name="Heading 2 3" xfId="1337"/>
    <cellStyle name="Heading 2 3 2" xfId="1338"/>
    <cellStyle name="Heading 2 3 3" xfId="1339"/>
    <cellStyle name="Heading 2 3 4" xfId="1340"/>
    <cellStyle name="Heading 2 4" xfId="1341"/>
    <cellStyle name="Heading 3" xfId="1342" builtinId="18" customBuiltin="1"/>
    <cellStyle name="Heading 3 2" xfId="1343"/>
    <cellStyle name="Heading 3 2 2" xfId="1344"/>
    <cellStyle name="Heading 3 2 3" xfId="1345"/>
    <cellStyle name="Heading 3 2 4" xfId="1346"/>
    <cellStyle name="Heading 3 2 5" xfId="1347"/>
    <cellStyle name="Heading 3 2 6" xfId="1348"/>
    <cellStyle name="Heading 3 2 7" xfId="1349"/>
    <cellStyle name="Heading 3 3" xfId="1350"/>
    <cellStyle name="Heading 3 4" xfId="1351"/>
    <cellStyle name="Heading 3 5" xfId="1352"/>
    <cellStyle name="Heading 4" xfId="1353" builtinId="19" customBuiltin="1"/>
    <cellStyle name="Heading 4 2" xfId="1354"/>
    <cellStyle name="Heading 4 2 2" xfId="1355"/>
    <cellStyle name="Heading 4 2 3" xfId="1356"/>
    <cellStyle name="Heading 4 2 4" xfId="1357"/>
    <cellStyle name="Heading 4 2 5" xfId="1358"/>
    <cellStyle name="Heading 4 2 6" xfId="1359"/>
    <cellStyle name="Heading 4 2 7" xfId="1360"/>
    <cellStyle name="Heading 4 3" xfId="1361"/>
    <cellStyle name="Heading 4 4" xfId="1362"/>
    <cellStyle name="Heading 4 5" xfId="1363"/>
    <cellStyle name="Heading1" xfId="1364"/>
    <cellStyle name="Heading2" xfId="1365"/>
    <cellStyle name="Hyperlink 2" xfId="1366"/>
    <cellStyle name="Hyperlink 3" xfId="1367"/>
    <cellStyle name="Hyperlink 4" xfId="1368"/>
    <cellStyle name="Input" xfId="1369" builtinId="20" customBuiltin="1"/>
    <cellStyle name="Input 2" xfId="1370"/>
    <cellStyle name="Input 2 2" xfId="1371"/>
    <cellStyle name="Input 2 3" xfId="1372"/>
    <cellStyle name="Input 2 4" xfId="1373"/>
    <cellStyle name="Input 2 5" xfId="1374"/>
    <cellStyle name="Input 2 6" xfId="1375"/>
    <cellStyle name="Input 3" xfId="1376"/>
    <cellStyle name="Input 4" xfId="1377"/>
    <cellStyle name="Linked Cell" xfId="1378" builtinId="24" customBuiltin="1"/>
    <cellStyle name="Linked Cell 2" xfId="1379"/>
    <cellStyle name="Linked Cell 2 2" xfId="1380"/>
    <cellStyle name="Linked Cell 2 3" xfId="1381"/>
    <cellStyle name="Linked Cell 2 4" xfId="1382"/>
    <cellStyle name="Linked Cell 2 5" xfId="1383"/>
    <cellStyle name="Linked Cell 2 6" xfId="1384"/>
    <cellStyle name="Linked Cell 3" xfId="1385"/>
    <cellStyle name="Linked Cell 4" xfId="1386"/>
    <cellStyle name="M" xfId="1387"/>
    <cellStyle name="M 2" xfId="1388"/>
    <cellStyle name="M 2 2" xfId="1389"/>
    <cellStyle name="M 2 2 2" xfId="1390"/>
    <cellStyle name="M 3" xfId="1391"/>
    <cellStyle name="M 3 2" xfId="1392"/>
    <cellStyle name="M 3 2 2" xfId="1393"/>
    <cellStyle name="M 4" xfId="1394"/>
    <cellStyle name="M 5" xfId="1395"/>
    <cellStyle name="M 5 2" xfId="1396"/>
    <cellStyle name="M 6" xfId="1397"/>
    <cellStyle name="M 6 2" xfId="1398"/>
    <cellStyle name="M 7" xfId="1399"/>
    <cellStyle name="M 7 2" xfId="1400"/>
    <cellStyle name="M 8" xfId="1401"/>
    <cellStyle name="M 8 2" xfId="1402"/>
    <cellStyle name="M 8 3" xfId="1403"/>
    <cellStyle name="M 8 4" xfId="1404"/>
    <cellStyle name="Neutral" xfId="1405" builtinId="28" customBuiltin="1"/>
    <cellStyle name="Neutral 2" xfId="1406"/>
    <cellStyle name="Neutral 2 2" xfId="1407"/>
    <cellStyle name="Neutral 2 3" xfId="1408"/>
    <cellStyle name="Neutral 2 4" xfId="1409"/>
    <cellStyle name="Neutral 2 5" xfId="1410"/>
    <cellStyle name="Neutral 2 6" xfId="1411"/>
    <cellStyle name="Neutral 3" xfId="1412"/>
    <cellStyle name="Neutral 4" xfId="1413"/>
    <cellStyle name="Normal" xfId="0" builtinId="0"/>
    <cellStyle name="Normal 10" xfId="1414"/>
    <cellStyle name="Normal 10 2" xfId="1415"/>
    <cellStyle name="Normal 10 2 2" xfId="1416"/>
    <cellStyle name="Normal 10 2 3" xfId="1417"/>
    <cellStyle name="Normal 10 2 4" xfId="1418"/>
    <cellStyle name="Normal 10 3" xfId="1419"/>
    <cellStyle name="Normal 10 3 2" xfId="1420"/>
    <cellStyle name="Normal 10 4" xfId="1421"/>
    <cellStyle name="Normal 10 5" xfId="1422"/>
    <cellStyle name="Normal 10 6" xfId="1423"/>
    <cellStyle name="Normal 11" xfId="1424"/>
    <cellStyle name="Normal 11 2" xfId="1425"/>
    <cellStyle name="Normal 11 2 2" xfId="1426"/>
    <cellStyle name="Normal 11 2 3" xfId="1427"/>
    <cellStyle name="Normal 11 2 4" xfId="1428"/>
    <cellStyle name="Normal 11 3" xfId="1429"/>
    <cellStyle name="Normal 11 4" xfId="1430"/>
    <cellStyle name="Normal 11 5" xfId="1431"/>
    <cellStyle name="Normal 11 6" xfId="1432"/>
    <cellStyle name="Normal 12" xfId="1433"/>
    <cellStyle name="Normal 12 2" xfId="1434"/>
    <cellStyle name="Normal 12 2 2" xfId="1435"/>
    <cellStyle name="Normal 12 2 3" xfId="1436"/>
    <cellStyle name="Normal 12 3" xfId="1437"/>
    <cellStyle name="Normal 12 4" xfId="1438"/>
    <cellStyle name="Normal 12 5" xfId="1439"/>
    <cellStyle name="Normal 12 5 2" xfId="1440"/>
    <cellStyle name="Normal 12 6" xfId="1441"/>
    <cellStyle name="Normal 12 7" xfId="1442"/>
    <cellStyle name="Normal 13" xfId="1443"/>
    <cellStyle name="Normal 13 2" xfId="1444"/>
    <cellStyle name="Normal 13 2 2" xfId="1445"/>
    <cellStyle name="Normal 13 3" xfId="1446"/>
    <cellStyle name="Normal 13 4" xfId="1447"/>
    <cellStyle name="Normal 14" xfId="1448"/>
    <cellStyle name="Normal 14 2" xfId="1449"/>
    <cellStyle name="Normal 14 2 2" xfId="1450"/>
    <cellStyle name="Normal 14 3" xfId="1451"/>
    <cellStyle name="Normal 14 4" xfId="1452"/>
    <cellStyle name="Normal 15" xfId="1453"/>
    <cellStyle name="Normal 15 2" xfId="1454"/>
    <cellStyle name="Normal 16" xfId="1455"/>
    <cellStyle name="Normal 16 2" xfId="1456"/>
    <cellStyle name="Normal 16 2 2" xfId="1457"/>
    <cellStyle name="Normal 16 3" xfId="1458"/>
    <cellStyle name="Normal 16 4" xfId="1459"/>
    <cellStyle name="Normal 17" xfId="1460"/>
    <cellStyle name="Normal 17 2" xfId="1461"/>
    <cellStyle name="Normal 17 2 2" xfId="1462"/>
    <cellStyle name="Normal 17 3" xfId="1463"/>
    <cellStyle name="Normal 17 4" xfId="1464"/>
    <cellStyle name="Normal 18" xfId="1465"/>
    <cellStyle name="Normal 18 2" xfId="1466"/>
    <cellStyle name="Normal 18 2 2" xfId="1467"/>
    <cellStyle name="Normal 18 3" xfId="1468"/>
    <cellStyle name="Normal 18 4" xfId="1469"/>
    <cellStyle name="Normal 19" xfId="1470"/>
    <cellStyle name="Normal 19 2" xfId="1471"/>
    <cellStyle name="Normal 19 2 2" xfId="1472"/>
    <cellStyle name="Normal 19 3" xfId="1473"/>
    <cellStyle name="Normal 19 4" xfId="1474"/>
    <cellStyle name="Normal 2" xfId="1475"/>
    <cellStyle name="Normal 2 2" xfId="1476"/>
    <cellStyle name="Normal 2 2 2" xfId="1477"/>
    <cellStyle name="Normal 2 2 2 2" xfId="1478"/>
    <cellStyle name="Normal 2 2 3" xfId="1479"/>
    <cellStyle name="Normal 2 2 3 2" xfId="1480"/>
    <cellStyle name="Normal 2 2 4" xfId="1481"/>
    <cellStyle name="Normal 2 3" xfId="1482"/>
    <cellStyle name="Normal 2 3 2" xfId="1483"/>
    <cellStyle name="Normal 2 3 3" xfId="1484"/>
    <cellStyle name="Normal 2 4" xfId="1485"/>
    <cellStyle name="Normal 2 5" xfId="1486"/>
    <cellStyle name="Normal 2 5 2" xfId="1487"/>
    <cellStyle name="Normal 2 6" xfId="1488"/>
    <cellStyle name="Normal 20" xfId="1489"/>
    <cellStyle name="Normal 20 2" xfId="1490"/>
    <cellStyle name="Normal 20 2 2" xfId="1491"/>
    <cellStyle name="Normal 20 3" xfId="1492"/>
    <cellStyle name="Normal 21" xfId="1493"/>
    <cellStyle name="Normal 21 2" xfId="1494"/>
    <cellStyle name="Normal 21 3" xfId="1495"/>
    <cellStyle name="Normal 22" xfId="1496"/>
    <cellStyle name="Normal 22 2" xfId="1497"/>
    <cellStyle name="Normal 22 3" xfId="1498"/>
    <cellStyle name="Normal 23" xfId="1499"/>
    <cellStyle name="Normal 23 2" xfId="1500"/>
    <cellStyle name="Normal 23 3" xfId="1501"/>
    <cellStyle name="Normal 24" xfId="1502"/>
    <cellStyle name="Normal 24 2" xfId="1503"/>
    <cellStyle name="Normal 24 3" xfId="1504"/>
    <cellStyle name="Normal 25" xfId="1505"/>
    <cellStyle name="Normal 25 2" xfId="1506"/>
    <cellStyle name="Normal 25 3" xfId="1507"/>
    <cellStyle name="Normal 26" xfId="1508"/>
    <cellStyle name="Normal 26 2" xfId="1509"/>
    <cellStyle name="Normal 26 3" xfId="1510"/>
    <cellStyle name="Normal 27" xfId="1511"/>
    <cellStyle name="Normal 27 2" xfId="1512"/>
    <cellStyle name="Normal 27 3" xfId="1513"/>
    <cellStyle name="Normal 28" xfId="1514"/>
    <cellStyle name="Normal 28 2" xfId="1515"/>
    <cellStyle name="Normal 29" xfId="1516"/>
    <cellStyle name="Normal 29 2" xfId="1517"/>
    <cellStyle name="Normal 3" xfId="1518"/>
    <cellStyle name="Normal 3 2" xfId="1519"/>
    <cellStyle name="Normal 3 2 2" xfId="1520"/>
    <cellStyle name="Normal 3 3" xfId="1521"/>
    <cellStyle name="Normal 3 3 2" xfId="1522"/>
    <cellStyle name="Normal 3 3 3" xfId="1523"/>
    <cellStyle name="Normal 3 3 4" xfId="1524"/>
    <cellStyle name="Normal 3 3 5" xfId="1525"/>
    <cellStyle name="Normal 3 4" xfId="1526"/>
    <cellStyle name="Normal 3_Attach O, GG, Support -New Method 2-14-11" xfId="1527"/>
    <cellStyle name="Normal 30" xfId="1528"/>
    <cellStyle name="Normal 30 2" xfId="1529"/>
    <cellStyle name="Normal 31" xfId="1530"/>
    <cellStyle name="Normal 31 2" xfId="1531"/>
    <cellStyle name="Normal 32" xfId="1532"/>
    <cellStyle name="Normal 32 2" xfId="1533"/>
    <cellStyle name="Normal 33" xfId="1534"/>
    <cellStyle name="Normal 33 2" xfId="1535"/>
    <cellStyle name="Normal 34" xfId="1536"/>
    <cellStyle name="Normal 34 2" xfId="1537"/>
    <cellStyle name="Normal 35" xfId="1538"/>
    <cellStyle name="Normal 36" xfId="1539"/>
    <cellStyle name="Normal 36 2" xfId="1540"/>
    <cellStyle name="Normal 37" xfId="1541"/>
    <cellStyle name="Normal 37 2" xfId="1542"/>
    <cellStyle name="Normal 38" xfId="1543"/>
    <cellStyle name="Normal 38 2" xfId="1544"/>
    <cellStyle name="Normal 39" xfId="1545"/>
    <cellStyle name="Normal 39 2" xfId="1546"/>
    <cellStyle name="Normal 4" xfId="1547"/>
    <cellStyle name="Normal 4 10" xfId="1548"/>
    <cellStyle name="Normal 4 10 2" xfId="1549"/>
    <cellStyle name="Normal 4 10 3" xfId="1550"/>
    <cellStyle name="Normal 4 11" xfId="1551"/>
    <cellStyle name="Normal 4 11 2" xfId="1552"/>
    <cellStyle name="Normal 4 12" xfId="1553"/>
    <cellStyle name="Normal 4 12 2" xfId="1554"/>
    <cellStyle name="Normal 4 13" xfId="1555"/>
    <cellStyle name="Normal 4 13 2" xfId="1556"/>
    <cellStyle name="Normal 4 14" xfId="1557"/>
    <cellStyle name="Normal 4 14 2" xfId="1558"/>
    <cellStyle name="Normal 4 14 3" xfId="1559"/>
    <cellStyle name="Normal 4 14 4" xfId="1560"/>
    <cellStyle name="Normal 4 14 5" xfId="1561"/>
    <cellStyle name="Normal 4 15" xfId="1562"/>
    <cellStyle name="Normal 4 15 2" xfId="1563"/>
    <cellStyle name="Normal 4 15 3" xfId="1564"/>
    <cellStyle name="Normal 4 15 4" xfId="1565"/>
    <cellStyle name="Normal 4 16" xfId="1566"/>
    <cellStyle name="Normal 4 17" xfId="1567"/>
    <cellStyle name="Normal 4 18" xfId="1568"/>
    <cellStyle name="Normal 4 19" xfId="1569"/>
    <cellStyle name="Normal 4 2" xfId="1570"/>
    <cellStyle name="Normal 4 2 2" xfId="1571"/>
    <cellStyle name="Normal 4 2 3" xfId="1572"/>
    <cellStyle name="Normal 4 3" xfId="1573"/>
    <cellStyle name="Normal 4 3 2" xfId="1574"/>
    <cellStyle name="Normal 4 3 2 2" xfId="1575"/>
    <cellStyle name="Normal 4 3 2 3" xfId="1576"/>
    <cellStyle name="Normal 4 3 3" xfId="1577"/>
    <cellStyle name="Normal 4 3 3 2" xfId="1578"/>
    <cellStyle name="Normal 4 3 3 2 2" xfId="1579"/>
    <cellStyle name="Normal 4 3 3 2 3" xfId="1580"/>
    <cellStyle name="Normal 4 3 3 2 4" xfId="1581"/>
    <cellStyle name="Normal 4 3 3 2 5" xfId="1582"/>
    <cellStyle name="Normal 4 3 3 3" xfId="1583"/>
    <cellStyle name="Normal 4 3 4" xfId="1584"/>
    <cellStyle name="Normal 4 3 5" xfId="1585"/>
    <cellStyle name="Normal 4 3 5 2" xfId="1586"/>
    <cellStyle name="Normal 4 3 5 3" xfId="1587"/>
    <cellStyle name="Normal 4 3 5 4" xfId="1588"/>
    <cellStyle name="Normal 4 3 5 5" xfId="1589"/>
    <cellStyle name="Normal 4 3 6" xfId="1590"/>
    <cellStyle name="Normal 4 4" xfId="1591"/>
    <cellStyle name="Normal 4 4 2" xfId="1592"/>
    <cellStyle name="Normal 4 4 3" xfId="1593"/>
    <cellStyle name="Normal 4 4 4" xfId="1594"/>
    <cellStyle name="Normal 4 4 4 2" xfId="1595"/>
    <cellStyle name="Normal 4 4 4 3" xfId="1596"/>
    <cellStyle name="Normal 4 4 4 4" xfId="1597"/>
    <cellStyle name="Normal 4 4 4 5" xfId="1598"/>
    <cellStyle name="Normal 4 4 5" xfId="1599"/>
    <cellStyle name="Normal 4 4 6" xfId="1600"/>
    <cellStyle name="Normal 4 5" xfId="1601"/>
    <cellStyle name="Normal 4 5 2" xfId="1602"/>
    <cellStyle name="Normal 4 5 2 2" xfId="1603"/>
    <cellStyle name="Normal 4 5 2 2 2" xfId="1604"/>
    <cellStyle name="Normal 4 5 2 2 3" xfId="1605"/>
    <cellStyle name="Normal 4 5 2 2 4" xfId="1606"/>
    <cellStyle name="Normal 4 5 2 2 5" xfId="1607"/>
    <cellStyle name="Normal 4 5 3" xfId="1608"/>
    <cellStyle name="Normal 4 6" xfId="1609"/>
    <cellStyle name="Normal 4 6 2" xfId="1610"/>
    <cellStyle name="Normal 4 6 3" xfId="1611"/>
    <cellStyle name="Normal 4 6 4" xfId="1612"/>
    <cellStyle name="Normal 4 6 4 2" xfId="1613"/>
    <cellStyle name="Normal 4 6 4 3" xfId="1614"/>
    <cellStyle name="Normal 4 6 4 4" xfId="1615"/>
    <cellStyle name="Normal 4 7" xfId="1616"/>
    <cellStyle name="Normal 4 7 2" xfId="1617"/>
    <cellStyle name="Normal 4 7 3" xfId="1618"/>
    <cellStyle name="Normal 4 7 4" xfId="1619"/>
    <cellStyle name="Normal 4 7 4 2" xfId="1620"/>
    <cellStyle name="Normal 4 7 4 3" xfId="1621"/>
    <cellStyle name="Normal 4 7 4 4" xfId="1622"/>
    <cellStyle name="Normal 4 8" xfId="1623"/>
    <cellStyle name="Normal 4 8 2" xfId="1624"/>
    <cellStyle name="Normal 4 8 3" xfId="1625"/>
    <cellStyle name="Normal 4 8 4" xfId="1626"/>
    <cellStyle name="Normal 4 8 4 2" xfId="1627"/>
    <cellStyle name="Normal 4 8 4 3" xfId="1628"/>
    <cellStyle name="Normal 4 8 4 4" xfId="1629"/>
    <cellStyle name="Normal 4 9" xfId="1630"/>
    <cellStyle name="Normal 4 9 2" xfId="1631"/>
    <cellStyle name="Normal 4 9 3" xfId="1632"/>
    <cellStyle name="Normal 4 9 4" xfId="1633"/>
    <cellStyle name="Normal 4 9 4 2" xfId="1634"/>
    <cellStyle name="Normal 4 9 4 3" xfId="1635"/>
    <cellStyle name="Normal 4 9 4 4" xfId="1636"/>
    <cellStyle name="Normal 4_PBOP Exhibit 1" xfId="1637"/>
    <cellStyle name="Normal 40" xfId="1638"/>
    <cellStyle name="Normal 5" xfId="1639"/>
    <cellStyle name="Normal 5 2" xfId="1640"/>
    <cellStyle name="Normal 5 2 2" xfId="1641"/>
    <cellStyle name="Normal 5 2 2 2" xfId="1642"/>
    <cellStyle name="Normal 5 2 2 3" xfId="1643"/>
    <cellStyle name="Normal 5 2 3" xfId="1644"/>
    <cellStyle name="Normal 5 2 4" xfId="1645"/>
    <cellStyle name="Normal 5 2 5" xfId="1646"/>
    <cellStyle name="Normal 5 2 6" xfId="1647"/>
    <cellStyle name="Normal 5 2 7" xfId="1648"/>
    <cellStyle name="Normal 5 3" xfId="1649"/>
    <cellStyle name="Normal 5 3 2" xfId="1650"/>
    <cellStyle name="Normal 5 3 3" xfId="1651"/>
    <cellStyle name="Normal 5 4" xfId="1652"/>
    <cellStyle name="Normal 5 4 2" xfId="1653"/>
    <cellStyle name="Normal 5 4 3" xfId="1654"/>
    <cellStyle name="Normal 6" xfId="1655"/>
    <cellStyle name="Normal 6 2" xfId="1656"/>
    <cellStyle name="Normal 6 2 2" xfId="1657"/>
    <cellStyle name="Normal 6 2 3" xfId="1658"/>
    <cellStyle name="Normal 6 3" xfId="1659"/>
    <cellStyle name="Normal 6 4" xfId="1660"/>
    <cellStyle name="Normal 6 5" xfId="1661"/>
    <cellStyle name="Normal 7" xfId="1662"/>
    <cellStyle name="Normal 7 2" xfId="1663"/>
    <cellStyle name="Normal 7 3" xfId="1664"/>
    <cellStyle name="Normal 7 4" xfId="1665"/>
    <cellStyle name="Normal 7 5" xfId="1666"/>
    <cellStyle name="Normal 8" xfId="1667"/>
    <cellStyle name="Normal 8 2" xfId="1668"/>
    <cellStyle name="Normal 8 2 2" xfId="1669"/>
    <cellStyle name="Normal 8 2 3" xfId="1670"/>
    <cellStyle name="Normal 8 2 4" xfId="1671"/>
    <cellStyle name="Normal 8 3" xfId="1672"/>
    <cellStyle name="Normal 9" xfId="1673"/>
    <cellStyle name="Normal 9 2" xfId="1674"/>
    <cellStyle name="Normal 9 2 2" xfId="1675"/>
    <cellStyle name="Normal 9 3" xfId="1676"/>
    <cellStyle name="Normal 9 3 2" xfId="1677"/>
    <cellStyle name="Normal_~7671050" xfId="1678"/>
    <cellStyle name="Normal_~7671050 3" xfId="1679"/>
    <cellStyle name="Normal_21 Exh B" xfId="1680"/>
    <cellStyle name="Normal_ADITAnalysisID090805" xfId="1681"/>
    <cellStyle name="Normal_ADITAnalysisID090805 2" xfId="1682"/>
    <cellStyle name="Normal_ADITAnalysisID090805 3" xfId="1683"/>
    <cellStyle name="Normal_ADITAnalysisID090805 3 2" xfId="1684"/>
    <cellStyle name="Normal_ADITAnalysisID090805 4" xfId="1685"/>
    <cellStyle name="Normal_ADITAnalysisID090805 5" xfId="1686"/>
    <cellStyle name="Normal_AU Period 2 Rev 4-27-00" xfId="1687"/>
    <cellStyle name="Normal_AU Period 2 Rev 4-27-00 3" xfId="1688"/>
    <cellStyle name="Normal_FN1 Ratebase Draft SPP template (6-11-04) v2" xfId="1689"/>
    <cellStyle name="Normal_I&amp;M-AK-1" xfId="1690"/>
    <cellStyle name="Normal_OPCo Period I PJM  Formula Rate" xfId="1691"/>
    <cellStyle name="Normal_spp calc - revsd rev crd" xfId="1692"/>
    <cellStyle name="Normal_spp calc - revsd rev crd 3" xfId="1693"/>
    <cellStyle name="Note" xfId="1694" builtinId="10" customBuiltin="1"/>
    <cellStyle name="Note 2" xfId="1695"/>
    <cellStyle name="Note 2 2" xfId="1696"/>
    <cellStyle name="Note 2 2 2" xfId="1697"/>
    <cellStyle name="Note 2 2 3" xfId="1698"/>
    <cellStyle name="Note 2 2 4" xfId="1699"/>
    <cellStyle name="Note 2 2 5" xfId="1700"/>
    <cellStyle name="Note 2 2 6" xfId="1701"/>
    <cellStyle name="Note 2 3" xfId="1702"/>
    <cellStyle name="Note 2 4" xfId="1703"/>
    <cellStyle name="Note 2 5" xfId="1704"/>
    <cellStyle name="Note 2 6" xfId="1705"/>
    <cellStyle name="Note 2 7" xfId="1706"/>
    <cellStyle name="Note 3" xfId="1707"/>
    <cellStyle name="Note 3 2" xfId="1708"/>
    <cellStyle name="Note 4" xfId="1709"/>
    <cellStyle name="Note 5" xfId="1710"/>
    <cellStyle name="Note 6" xfId="1711"/>
    <cellStyle name="Note 7" xfId="1712"/>
    <cellStyle name="Note 8" xfId="1713"/>
    <cellStyle name="ntec" xfId="1714"/>
    <cellStyle name="Output" xfId="1715" builtinId="21" customBuiltin="1"/>
    <cellStyle name="Output 2" xfId="1716"/>
    <cellStyle name="Output 2 2" xfId="1717"/>
    <cellStyle name="Output 2 3" xfId="1718"/>
    <cellStyle name="Output 2 4" xfId="1719"/>
    <cellStyle name="Output 2 5" xfId="1720"/>
    <cellStyle name="Output 2 6" xfId="1721"/>
    <cellStyle name="Output 3" xfId="1722"/>
    <cellStyle name="Output 4" xfId="1723"/>
    <cellStyle name="Percent" xfId="1724" builtinId="5"/>
    <cellStyle name="Percent 10" xfId="1725"/>
    <cellStyle name="Percent 10 2" xfId="1726"/>
    <cellStyle name="Percent 10 3" xfId="1727"/>
    <cellStyle name="Percent 10 4" xfId="1728"/>
    <cellStyle name="Percent 10 4 2" xfId="1729"/>
    <cellStyle name="Percent 10 4 3" xfId="1730"/>
    <cellStyle name="Percent 10 4 4" xfId="1731"/>
    <cellStyle name="Percent 10 5" xfId="1732"/>
    <cellStyle name="Percent 10 6" xfId="1733"/>
    <cellStyle name="Percent 11" xfId="1734"/>
    <cellStyle name="Percent 11 2" xfId="1735"/>
    <cellStyle name="Percent 11 3" xfId="1736"/>
    <cellStyle name="Percent 11 4" xfId="1737"/>
    <cellStyle name="Percent 11 4 2" xfId="1738"/>
    <cellStyle name="Percent 11 4 3" xfId="1739"/>
    <cellStyle name="Percent 11 4 4" xfId="1740"/>
    <cellStyle name="Percent 11 5" xfId="1741"/>
    <cellStyle name="Percent 11 6" xfId="1742"/>
    <cellStyle name="Percent 12" xfId="1743"/>
    <cellStyle name="Percent 12 2" xfId="1744"/>
    <cellStyle name="Percent 12 3" xfId="1745"/>
    <cellStyle name="Percent 13" xfId="1746"/>
    <cellStyle name="Percent 13 2" xfId="1747"/>
    <cellStyle name="Percent 14" xfId="1748"/>
    <cellStyle name="Percent 14 2" xfId="1749"/>
    <cellStyle name="Percent 15" xfId="1750"/>
    <cellStyle name="Percent 15 2" xfId="1751"/>
    <cellStyle name="Percent 16" xfId="1752"/>
    <cellStyle name="Percent 16 2" xfId="1753"/>
    <cellStyle name="Percent 16 3" xfId="1754"/>
    <cellStyle name="Percent 16 4" xfId="1755"/>
    <cellStyle name="Percent 16 5" xfId="1756"/>
    <cellStyle name="Percent 17" xfId="1757"/>
    <cellStyle name="Percent 17 2" xfId="1758"/>
    <cellStyle name="Percent 17 3" xfId="1759"/>
    <cellStyle name="Percent 17 4" xfId="1760"/>
    <cellStyle name="Percent 18" xfId="1761"/>
    <cellStyle name="Percent 19" xfId="1762"/>
    <cellStyle name="Percent 2" xfId="1763"/>
    <cellStyle name="Percent 2 2" xfId="1764"/>
    <cellStyle name="Percent 2 2 2" xfId="1765"/>
    <cellStyle name="Percent 2 3" xfId="1766"/>
    <cellStyle name="Percent 20" xfId="1767"/>
    <cellStyle name="Percent 21" xfId="1768"/>
    <cellStyle name="Percent 22" xfId="1769"/>
    <cellStyle name="Percent 3" xfId="1770"/>
    <cellStyle name="Percent 3 10" xfId="1771"/>
    <cellStyle name="Percent 3 10 2" xfId="1772"/>
    <cellStyle name="Percent 3 10 3" xfId="1773"/>
    <cellStyle name="Percent 3 11" xfId="1774"/>
    <cellStyle name="Percent 3 11 2" xfId="1775"/>
    <cellStyle name="Percent 3 12" xfId="1776"/>
    <cellStyle name="Percent 3 12 2" xfId="1777"/>
    <cellStyle name="Percent 3 13" xfId="1778"/>
    <cellStyle name="Percent 3 13 2" xfId="1779"/>
    <cellStyle name="Percent 3 14" xfId="1780"/>
    <cellStyle name="Percent 3 14 2" xfId="1781"/>
    <cellStyle name="Percent 3 14 3" xfId="1782"/>
    <cellStyle name="Percent 3 14 4" xfId="1783"/>
    <cellStyle name="Percent 3 14 5" xfId="1784"/>
    <cellStyle name="Percent 3 15" xfId="1785"/>
    <cellStyle name="Percent 3 15 2" xfId="1786"/>
    <cellStyle name="Percent 3 15 3" xfId="1787"/>
    <cellStyle name="Percent 3 15 4" xfId="1788"/>
    <cellStyle name="Percent 3 16" xfId="1789"/>
    <cellStyle name="Percent 3 17" xfId="1790"/>
    <cellStyle name="Percent 3 18" xfId="1791"/>
    <cellStyle name="Percent 3 19" xfId="1792"/>
    <cellStyle name="Percent 3 2" xfId="1793"/>
    <cellStyle name="Percent 3 2 2" xfId="1794"/>
    <cellStyle name="Percent 3 3" xfId="1795"/>
    <cellStyle name="Percent 3 3 2" xfId="1796"/>
    <cellStyle name="Percent 3 3 2 2" xfId="1797"/>
    <cellStyle name="Percent 3 3 2 3" xfId="1798"/>
    <cellStyle name="Percent 3 3 3" xfId="1799"/>
    <cellStyle name="Percent 3 3 3 2" xfId="1800"/>
    <cellStyle name="Percent 3 3 3 2 2" xfId="1801"/>
    <cellStyle name="Percent 3 3 3 2 3" xfId="1802"/>
    <cellStyle name="Percent 3 3 3 2 4" xfId="1803"/>
    <cellStyle name="Percent 3 3 3 2 5" xfId="1804"/>
    <cellStyle name="Percent 3 3 3 3" xfId="1805"/>
    <cellStyle name="Percent 3 3 4" xfId="1806"/>
    <cellStyle name="Percent 3 3 5" xfId="1807"/>
    <cellStyle name="Percent 3 3 5 2" xfId="1808"/>
    <cellStyle name="Percent 3 3 5 3" xfId="1809"/>
    <cellStyle name="Percent 3 3 5 4" xfId="1810"/>
    <cellStyle name="Percent 3 3 5 5" xfId="1811"/>
    <cellStyle name="Percent 3 3 6" xfId="1812"/>
    <cellStyle name="Percent 3 3 7" xfId="1813"/>
    <cellStyle name="Percent 3 4" xfId="1814"/>
    <cellStyle name="Percent 3 4 2" xfId="1815"/>
    <cellStyle name="Percent 3 4 3" xfId="1816"/>
    <cellStyle name="Percent 3 4 4" xfId="1817"/>
    <cellStyle name="Percent 3 4 4 2" xfId="1818"/>
    <cellStyle name="Percent 3 4 4 3" xfId="1819"/>
    <cellStyle name="Percent 3 4 4 4" xfId="1820"/>
    <cellStyle name="Percent 3 4 4 5" xfId="1821"/>
    <cellStyle name="Percent 3 4 5" xfId="1822"/>
    <cellStyle name="Percent 3 5" xfId="1823"/>
    <cellStyle name="Percent 3 5 2" xfId="1824"/>
    <cellStyle name="Percent 3 6" xfId="1825"/>
    <cellStyle name="Percent 3 6 2" xfId="1826"/>
    <cellStyle name="Percent 3 6 3" xfId="1827"/>
    <cellStyle name="Percent 3 6 4" xfId="1828"/>
    <cellStyle name="Percent 3 6 4 2" xfId="1829"/>
    <cellStyle name="Percent 3 6 4 3" xfId="1830"/>
    <cellStyle name="Percent 3 6 4 4" xfId="1831"/>
    <cellStyle name="Percent 3 7" xfId="1832"/>
    <cellStyle name="Percent 3 7 2" xfId="1833"/>
    <cellStyle name="Percent 3 7 3" xfId="1834"/>
    <cellStyle name="Percent 3 7 4" xfId="1835"/>
    <cellStyle name="Percent 3 7 4 2" xfId="1836"/>
    <cellStyle name="Percent 3 7 4 3" xfId="1837"/>
    <cellStyle name="Percent 3 7 4 4" xfId="1838"/>
    <cellStyle name="Percent 3 8" xfId="1839"/>
    <cellStyle name="Percent 3 8 2" xfId="1840"/>
    <cellStyle name="Percent 3 8 3" xfId="1841"/>
    <cellStyle name="Percent 3 8 4" xfId="1842"/>
    <cellStyle name="Percent 3 8 4 2" xfId="1843"/>
    <cellStyle name="Percent 3 8 4 3" xfId="1844"/>
    <cellStyle name="Percent 3 8 4 4" xfId="1845"/>
    <cellStyle name="Percent 3 9" xfId="1846"/>
    <cellStyle name="Percent 3 9 2" xfId="1847"/>
    <cellStyle name="Percent 3 9 3" xfId="1848"/>
    <cellStyle name="Percent 3 9 4" xfId="1849"/>
    <cellStyle name="Percent 3 9 4 2" xfId="1850"/>
    <cellStyle name="Percent 3 9 4 3" xfId="1851"/>
    <cellStyle name="Percent 3 9 4 4" xfId="1852"/>
    <cellStyle name="Percent 4" xfId="1853"/>
    <cellStyle name="Percent 4 2" xfId="1854"/>
    <cellStyle name="Percent 4 2 2" xfId="1855"/>
    <cellStyle name="Percent 4 2 3" xfId="1856"/>
    <cellStyle name="Percent 4 3" xfId="1857"/>
    <cellStyle name="Percent 4 3 2" xfId="1858"/>
    <cellStyle name="Percent 4 3 2 2" xfId="1859"/>
    <cellStyle name="Percent 4 3 2 3" xfId="1860"/>
    <cellStyle name="Percent 4 3 2 4" xfId="1861"/>
    <cellStyle name="Percent 4 3 2 5" xfId="1862"/>
    <cellStyle name="Percent 4 3 3" xfId="1863"/>
    <cellStyle name="Percent 4 4" xfId="1864"/>
    <cellStyle name="Percent 4 5" xfId="1865"/>
    <cellStyle name="Percent 4 5 2" xfId="1866"/>
    <cellStyle name="Percent 4 5 3" xfId="1867"/>
    <cellStyle name="Percent 4 5 4" xfId="1868"/>
    <cellStyle name="Percent 4 5 5" xfId="1869"/>
    <cellStyle name="Percent 4 6" xfId="1870"/>
    <cellStyle name="Percent 4 6 2" xfId="1871"/>
    <cellStyle name="Percent 4 6 3" xfId="1872"/>
    <cellStyle name="Percent 5" xfId="1873"/>
    <cellStyle name="Percent 5 2" xfId="1874"/>
    <cellStyle name="Percent 5 2 2" xfId="1875"/>
    <cellStyle name="Percent 5 2 3" xfId="1876"/>
    <cellStyle name="Percent 5 3" xfId="1877"/>
    <cellStyle name="Percent 5 4" xfId="1878"/>
    <cellStyle name="Percent 5 4 2" xfId="1879"/>
    <cellStyle name="Percent 5 4 3" xfId="1880"/>
    <cellStyle name="Percent 5 4 4" xfId="1881"/>
    <cellStyle name="Percent 5 4 5" xfId="1882"/>
    <cellStyle name="Percent 5 5" xfId="1883"/>
    <cellStyle name="Percent 5 6" xfId="1884"/>
    <cellStyle name="Percent 5 7" xfId="1885"/>
    <cellStyle name="Percent 6" xfId="1886"/>
    <cellStyle name="Percent 6 2" xfId="1887"/>
    <cellStyle name="Percent 6 3" xfId="1888"/>
    <cellStyle name="Percent 6 4" xfId="1889"/>
    <cellStyle name="Percent 6 4 2" xfId="1890"/>
    <cellStyle name="Percent 6 4 3" xfId="1891"/>
    <cellStyle name="Percent 6 5" xfId="1892"/>
    <cellStyle name="Percent 6 6" xfId="1893"/>
    <cellStyle name="Percent 7" xfId="1894"/>
    <cellStyle name="Percent 7 2" xfId="1895"/>
    <cellStyle name="Percent 7 2 2" xfId="1896"/>
    <cellStyle name="Percent 7 2 2 2" xfId="1897"/>
    <cellStyle name="Percent 7 2 2 2 2" xfId="1898"/>
    <cellStyle name="Percent 7 2 2 3" xfId="1899"/>
    <cellStyle name="Percent 7 2 2 3 2" xfId="1900"/>
    <cellStyle name="Percent 7 2 2 4" xfId="1901"/>
    <cellStyle name="Percent 7 2 2 5" xfId="1902"/>
    <cellStyle name="Percent 7 2 2 6" xfId="1903"/>
    <cellStyle name="Percent 7 2 2 6 2" xfId="1904"/>
    <cellStyle name="Percent 7 2 2 6 3" xfId="1905"/>
    <cellStyle name="Percent 7 2 3" xfId="1906"/>
    <cellStyle name="Percent 7 2 3 2" xfId="1907"/>
    <cellStyle name="Percent 7 2 4" xfId="1908"/>
    <cellStyle name="Percent 7 2 4 2" xfId="1909"/>
    <cellStyle name="Percent 7 2 4 3" xfId="1910"/>
    <cellStyle name="Percent 7 2 5" xfId="1911"/>
    <cellStyle name="Percent 7 2 5 2" xfId="1912"/>
    <cellStyle name="Percent 7 2 6" xfId="1913"/>
    <cellStyle name="Percent 7 2 7" xfId="1914"/>
    <cellStyle name="Percent 7 2 8" xfId="1915"/>
    <cellStyle name="Percent 7 3" xfId="1916"/>
    <cellStyle name="Percent 7 4" xfId="1917"/>
    <cellStyle name="Percent 7 5" xfId="1918"/>
    <cellStyle name="Percent 7 6" xfId="1919"/>
    <cellStyle name="Percent 8" xfId="1920"/>
    <cellStyle name="Percent 8 2" xfId="1921"/>
    <cellStyle name="Percent 8 2 2" xfId="1922"/>
    <cellStyle name="Percent 8 2 3" xfId="1923"/>
    <cellStyle name="Percent 8 3" xfId="1924"/>
    <cellStyle name="Percent 8 4" xfId="1925"/>
    <cellStyle name="Percent 8 4 2" xfId="1926"/>
    <cellStyle name="Percent 8 4 3" xfId="1927"/>
    <cellStyle name="Percent 8 4 4" xfId="1928"/>
    <cellStyle name="Percent 8 5" xfId="1929"/>
    <cellStyle name="Percent 8 6" xfId="1930"/>
    <cellStyle name="Percent 9" xfId="1931"/>
    <cellStyle name="Percent 9 2" xfId="1932"/>
    <cellStyle name="Percent 9 3" xfId="1933"/>
    <cellStyle name="Percent 9 4" xfId="1934"/>
    <cellStyle name="Percent 9 4 2" xfId="1935"/>
    <cellStyle name="Percent 9 4 3" xfId="1936"/>
    <cellStyle name="Percent 9 4 4" xfId="1937"/>
    <cellStyle name="Percent 9 5" xfId="1938"/>
    <cellStyle name="PSChar" xfId="1939"/>
    <cellStyle name="PSChar 2" xfId="1940"/>
    <cellStyle name="PSChar 2 2" xfId="1941"/>
    <cellStyle name="PSChar 3" xfId="1942"/>
    <cellStyle name="PSChar 4" xfId="1943"/>
    <cellStyle name="PSChar 4 2" xfId="1944"/>
    <cellStyle name="PSChar 5" xfId="1945"/>
    <cellStyle name="PSChar 5 2" xfId="1946"/>
    <cellStyle name="PSDate" xfId="1947"/>
    <cellStyle name="PSDate 2" xfId="1948"/>
    <cellStyle name="PSDate 2 2" xfId="1949"/>
    <cellStyle name="PSDate 3" xfId="1950"/>
    <cellStyle name="PSDate 4" xfId="1951"/>
    <cellStyle name="PSDate 4 2" xfId="1952"/>
    <cellStyle name="PSDate 5" xfId="1953"/>
    <cellStyle name="PSDate 5 2" xfId="1954"/>
    <cellStyle name="PSDec" xfId="1955"/>
    <cellStyle name="PSDec 2" xfId="1956"/>
    <cellStyle name="PSDec 2 2" xfId="1957"/>
    <cellStyle name="PSDec 3" xfId="1958"/>
    <cellStyle name="PSDec 4" xfId="1959"/>
    <cellStyle name="PSDec 4 2" xfId="1960"/>
    <cellStyle name="PSDec 5" xfId="1961"/>
    <cellStyle name="PSDec 5 2" xfId="1962"/>
    <cellStyle name="PSdesc" xfId="1963"/>
    <cellStyle name="PSdesc 2" xfId="1964"/>
    <cellStyle name="PSHeading" xfId="1965"/>
    <cellStyle name="PSHeading 2" xfId="1966"/>
    <cellStyle name="PSHeading 2 2" xfId="1967"/>
    <cellStyle name="PSHeading 3" xfId="1968"/>
    <cellStyle name="PSHeading 4" xfId="1969"/>
    <cellStyle name="PSHeading 5" xfId="1970"/>
    <cellStyle name="PSHeading 5 2" xfId="1971"/>
    <cellStyle name="PSHeading 6" xfId="1972"/>
    <cellStyle name="PSHeading 6 2" xfId="1973"/>
    <cellStyle name="PSInt" xfId="1974"/>
    <cellStyle name="PSInt 2" xfId="1975"/>
    <cellStyle name="PSInt 2 2" xfId="1976"/>
    <cellStyle name="PSInt 3" xfId="1977"/>
    <cellStyle name="PSInt 4" xfId="1978"/>
    <cellStyle name="PSInt 4 2" xfId="1979"/>
    <cellStyle name="PSInt 5" xfId="1980"/>
    <cellStyle name="PSInt 5 2" xfId="1981"/>
    <cellStyle name="PSSpacer" xfId="1982"/>
    <cellStyle name="PSSpacer 2" xfId="1983"/>
    <cellStyle name="PSSpacer 2 2" xfId="1984"/>
    <cellStyle name="PSSpacer 3" xfId="1985"/>
    <cellStyle name="PSSpacer 3 2" xfId="1986"/>
    <cellStyle name="PStest" xfId="1987"/>
    <cellStyle name="PStest 2" xfId="1988"/>
    <cellStyle name="R00A" xfId="1989"/>
    <cellStyle name="R00B" xfId="1990"/>
    <cellStyle name="R00L" xfId="1991"/>
    <cellStyle name="R01A" xfId="1992"/>
    <cellStyle name="R01B" xfId="1993"/>
    <cellStyle name="R01H" xfId="1994"/>
    <cellStyle name="R01L" xfId="1995"/>
    <cellStyle name="R02A" xfId="1996"/>
    <cellStyle name="R02B" xfId="1997"/>
    <cellStyle name="R02B 2" xfId="1998"/>
    <cellStyle name="R02H" xfId="1999"/>
    <cellStyle name="R02L" xfId="2000"/>
    <cellStyle name="R03A" xfId="2001"/>
    <cellStyle name="R03B" xfId="2002"/>
    <cellStyle name="R03B 2" xfId="2003"/>
    <cellStyle name="R03H" xfId="2004"/>
    <cellStyle name="R03L" xfId="2005"/>
    <cellStyle name="R04A" xfId="2006"/>
    <cellStyle name="R04B" xfId="2007"/>
    <cellStyle name="R04B 2" xfId="2008"/>
    <cellStyle name="R04H" xfId="2009"/>
    <cellStyle name="R04L" xfId="2010"/>
    <cellStyle name="R05A" xfId="2011"/>
    <cellStyle name="R05B" xfId="2012"/>
    <cellStyle name="R05B 2" xfId="2013"/>
    <cellStyle name="R05H" xfId="2014"/>
    <cellStyle name="R05L" xfId="2015"/>
    <cellStyle name="R05L 2" xfId="2016"/>
    <cellStyle name="R06A" xfId="2017"/>
    <cellStyle name="R06B" xfId="2018"/>
    <cellStyle name="R06B 2" xfId="2019"/>
    <cellStyle name="R06H" xfId="2020"/>
    <cellStyle name="R06L" xfId="2021"/>
    <cellStyle name="R07A" xfId="2022"/>
    <cellStyle name="R07B" xfId="2023"/>
    <cellStyle name="R07B 2" xfId="2024"/>
    <cellStyle name="R07H" xfId="2025"/>
    <cellStyle name="R07L" xfId="2026"/>
    <cellStyle name="Title" xfId="2027" builtinId="15" customBuiltin="1"/>
    <cellStyle name="Title 2" xfId="2028"/>
    <cellStyle name="Title 2 2" xfId="2029"/>
    <cellStyle name="Title 2 3" xfId="2030"/>
    <cellStyle name="Title 2 3 2" xfId="2031"/>
    <cellStyle name="Title 2 3 3" xfId="2032"/>
    <cellStyle name="Title 2 3 4" xfId="2033"/>
    <cellStyle name="Title 2 4" xfId="2034"/>
    <cellStyle name="Title 2 5" xfId="2035"/>
    <cellStyle name="Title 2 6" xfId="2036"/>
    <cellStyle name="Title 2 7" xfId="2037"/>
    <cellStyle name="Title 3" xfId="2038"/>
    <cellStyle name="Title 4" xfId="2039"/>
    <cellStyle name="Total" xfId="2040" builtinId="25" customBuiltin="1"/>
    <cellStyle name="Total 2" xfId="2041"/>
    <cellStyle name="Total 2 2" xfId="2042"/>
    <cellStyle name="Total 2 3" xfId="2043"/>
    <cellStyle name="Total 2 4" xfId="2044"/>
    <cellStyle name="Total 2 5" xfId="2045"/>
    <cellStyle name="Total 2 6" xfId="2046"/>
    <cellStyle name="Total 2 7" xfId="2047"/>
    <cellStyle name="Total 3" xfId="2048"/>
    <cellStyle name="Total 3 2" xfId="2049"/>
    <cellStyle name="Total 3 3" xfId="2050"/>
    <cellStyle name="Total 3 4" xfId="2051"/>
    <cellStyle name="Total 4" xfId="2052"/>
    <cellStyle name="Warning Text" xfId="2053" builtinId="11" customBuiltin="1"/>
    <cellStyle name="Warning Text 2" xfId="2054"/>
    <cellStyle name="Warning Text 2 2" xfId="2055"/>
    <cellStyle name="Warning Text 2 3" xfId="2056"/>
    <cellStyle name="Warning Text 2 4" xfId="2057"/>
    <cellStyle name="Warning Text 2 5" xfId="2058"/>
    <cellStyle name="Warning Text 2 6" xfId="2059"/>
    <cellStyle name="Warning Text 3" xfId="2060"/>
    <cellStyle name="Warning Text 4" xfId="2061"/>
  </cellStyles>
  <dxfs count="11">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40</xdr:row>
      <xdr:rowOff>0</xdr:rowOff>
    </xdr:from>
    <xdr:to>
      <xdr:col>3</xdr:col>
      <xdr:colOff>2714625</xdr:colOff>
      <xdr:row>41</xdr:row>
      <xdr:rowOff>9525</xdr:rowOff>
    </xdr:to>
    <xdr:sp macro="" textlink="">
      <xdr:nvSpPr>
        <xdr:cNvPr id="102424" name="Text Box 1"/>
        <xdr:cNvSpPr txBox="1">
          <a:spLocks noChangeArrowheads="1"/>
        </xdr:cNvSpPr>
      </xdr:nvSpPr>
      <xdr:spPr bwMode="auto">
        <a:xfrm>
          <a:off x="3419475" y="7800975"/>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2619375</xdr:colOff>
      <xdr:row>36</xdr:row>
      <xdr:rowOff>0</xdr:rowOff>
    </xdr:from>
    <xdr:to>
      <xdr:col>3</xdr:col>
      <xdr:colOff>2714625</xdr:colOff>
      <xdr:row>37</xdr:row>
      <xdr:rowOff>9525</xdr:rowOff>
    </xdr:to>
    <xdr:sp macro="" textlink="">
      <xdr:nvSpPr>
        <xdr:cNvPr id="71210" name="Text Box 1"/>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89</xdr:row>
      <xdr:rowOff>0</xdr:rowOff>
    </xdr:from>
    <xdr:to>
      <xdr:col>4</xdr:col>
      <xdr:colOff>523875</xdr:colOff>
      <xdr:row>90</xdr:row>
      <xdr:rowOff>66675</xdr:rowOff>
    </xdr:to>
    <xdr:sp macro="" textlink="">
      <xdr:nvSpPr>
        <xdr:cNvPr id="65185" name="Text Box 1"/>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409575</xdr:colOff>
      <xdr:row>89</xdr:row>
      <xdr:rowOff>0</xdr:rowOff>
    </xdr:from>
    <xdr:to>
      <xdr:col>4</xdr:col>
      <xdr:colOff>523875</xdr:colOff>
      <xdr:row>90</xdr:row>
      <xdr:rowOff>66675</xdr:rowOff>
    </xdr:to>
    <xdr:sp macro="" textlink="">
      <xdr:nvSpPr>
        <xdr:cNvPr id="81190" name="Text Box 1"/>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zark\legal\Michelle%20Harris\FERC%20Filings\Filings\AEP%20SWEPCO%20PSO%20Formula%20Rate\20171030%20AEP%20Drafts\21%20Proposed%20SWEPCO%20Formula%20Rate%20Template%201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egulated%20Tariffs\AEPTCo%20Docket%20No.%20ER10-355\Bethel%20Testimony%20and%20Exhibits\Oklahoma%20Transmission%20Company%202009%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EP%20SPP%20Trans%20Formula%20Rates%20PSO%20SWE%20OKT%20SWT/2019%20Projection/Source%20Data/West%20Operating%20Co%20Forecast%20Model%2010-24-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EP%20SPP%20Trans%20Formula%20Rates%20PSO%20SWE%20OKT%20SWT/2019%20Projection/Source%20Data/Tax/AEP%20West%20Operating%20Co%202019%20ADIT%20Forecast%2010-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1A Rates (2)"/>
      <sheetName val="Zonal Rates"/>
      <sheetName val="Sch 1 Rates"/>
      <sheetName val="Load WS"/>
      <sheetName val="SWE Sch 11 Rates"/>
      <sheetName val="SWEPCO TCOS"/>
      <sheetName val="SWEPCO WS A RB Support "/>
      <sheetName val="SWEPCO WS B - Facility credits"/>
      <sheetName val="SWEPCO WS C ADIT &amp; ADITC"/>
      <sheetName val="SWEPCO WS C-1 ADIT EOY"/>
      <sheetName val="SWEPCO WS C-2 ADIT BOY"/>
      <sheetName val="SWEPCO WS C-3 ADIT Proration"/>
      <sheetName val="SWEPCO WS D Working Capital"/>
      <sheetName val="SWEPCO WS E IPP Credits"/>
      <sheetName val="SWEPCO WS F BPU ATRR"/>
      <sheetName val="SWEPCO WS G BPU ATRR"/>
      <sheetName val="SWEPCO WS H Rev Credits"/>
      <sheetName val="SWEPCO WS I Exp Adj"/>
      <sheetName val="SWEPCO WS J Misc Exp"/>
      <sheetName val="SWEPCO WS K State Taxes"/>
      <sheetName val="SWEPCO WS L Other Taxes"/>
      <sheetName val="SWEPCO WS M Avg Cap Structure"/>
    </sheetNames>
    <sheetDataSet>
      <sheetData sheetId="0" refreshError="1"/>
      <sheetData sheetId="1" refreshError="1"/>
      <sheetData sheetId="2" refreshError="1"/>
      <sheetData sheetId="3" refreshError="1"/>
      <sheetData sheetId="4"/>
      <sheetData sheetId="5">
        <row r="334">
          <cell r="I334" t="str">
            <v>PSO_TU_Allocators</v>
          </cell>
        </row>
        <row r="335">
          <cell r="I335" t="str">
            <v>DA</v>
          </cell>
          <cell r="J335">
            <v>1</v>
          </cell>
        </row>
        <row r="336">
          <cell r="I336" t="str">
            <v>GP</v>
          </cell>
          <cell r="J336">
            <v>0.18710684533670757</v>
          </cell>
        </row>
        <row r="337">
          <cell r="I337" t="str">
            <v xml:space="preserve">GTD </v>
          </cell>
          <cell r="J337">
            <v>0.4439177498069391</v>
          </cell>
        </row>
        <row r="338">
          <cell r="I338" t="str">
            <v>NA</v>
          </cell>
          <cell r="J338">
            <v>0</v>
          </cell>
        </row>
        <row r="339">
          <cell r="I339" t="str">
            <v>NP</v>
          </cell>
          <cell r="J339">
            <v>0.19749772373296917</v>
          </cell>
        </row>
        <row r="340">
          <cell r="I340" t="str">
            <v>TP</v>
          </cell>
          <cell r="J340">
            <v>0.95390877428564946</v>
          </cell>
        </row>
        <row r="341">
          <cell r="I341" t="str">
            <v>TP1</v>
          </cell>
          <cell r="J341">
            <v>0.91768504887475233</v>
          </cell>
        </row>
        <row r="342">
          <cell r="I342" t="str">
            <v>W/S</v>
          </cell>
          <cell r="J342">
            <v>8.1732423967355403E-2</v>
          </cell>
        </row>
      </sheetData>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 Rate -  Projected"/>
      <sheetName val="Formula Rate - Historic"/>
      <sheetName val="Formula Rate - True-UP"/>
      <sheetName val="Worksheet A"/>
      <sheetName val="Worksheet B"/>
      <sheetName val="Worksheet C"/>
      <sheetName val="Worksheet D"/>
      <sheetName val="Worksheet E"/>
      <sheetName val="Worksheet F"/>
      <sheetName val="Worksheet G"/>
      <sheetName val="Worksheet H"/>
      <sheetName val="Worksheet I"/>
      <sheetName val="Worksheet J"/>
      <sheetName val="Worksheet K"/>
      <sheetName val="Worksheet L"/>
      <sheetName val="Worksheet M"/>
      <sheetName val="Worksheet N"/>
      <sheetName val="Worksheet O"/>
    </sheetNames>
    <sheetDataSet>
      <sheetData sheetId="0"/>
      <sheetData sheetId="1">
        <row r="1">
          <cell r="O1">
            <v>2009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2019"/>
      <sheetName val="Plant Detail - Book"/>
      <sheetName val="FERC Income Stmt w Details"/>
      <sheetName val="Income Stmt - Detail"/>
      <sheetName val="FERC Balance Sheet"/>
      <sheetName val="13 Mo Rate Base"/>
      <sheetName val="Scenario Info"/>
    </sheetNames>
    <sheetDataSet>
      <sheetData sheetId="0">
        <row r="7">
          <cell r="E7">
            <v>14495833</v>
          </cell>
          <cell r="H7">
            <v>14418841.999999899</v>
          </cell>
        </row>
        <row r="8">
          <cell r="E8">
            <v>1140000</v>
          </cell>
          <cell r="H8">
            <v>1128000</v>
          </cell>
        </row>
        <row r="16">
          <cell r="E16">
            <v>1405731</v>
          </cell>
          <cell r="H16">
            <v>1147674</v>
          </cell>
        </row>
        <row r="17">
          <cell r="E17">
            <v>149745428.527807</v>
          </cell>
          <cell r="H17">
            <v>139271018.517811</v>
          </cell>
        </row>
        <row r="19">
          <cell r="E19">
            <v>16315680.867601302</v>
          </cell>
          <cell r="H19">
            <v>16866888.965776701</v>
          </cell>
        </row>
        <row r="20">
          <cell r="E20">
            <v>117272902.81153101</v>
          </cell>
          <cell r="H20">
            <v>101996354.94808</v>
          </cell>
        </row>
        <row r="24">
          <cell r="E24">
            <v>52318259.311119206</v>
          </cell>
          <cell r="H24">
            <v>68059957.425714195</v>
          </cell>
        </row>
        <row r="25">
          <cell r="E25">
            <v>1257930.1208089599</v>
          </cell>
          <cell r="H25">
            <v>2391927.08341059</v>
          </cell>
        </row>
        <row r="42">
          <cell r="E42">
            <v>23388402.214859501</v>
          </cell>
          <cell r="H42">
            <v>45165575.882299401</v>
          </cell>
        </row>
        <row r="43">
          <cell r="E43">
            <v>6968938.0722648902</v>
          </cell>
          <cell r="H43">
            <v>6494132.35125867</v>
          </cell>
        </row>
        <row r="44">
          <cell r="E44">
            <v>14001292.5880458</v>
          </cell>
          <cell r="H44">
            <v>24484115.321249701</v>
          </cell>
        </row>
        <row r="57">
          <cell r="E57">
            <v>-1587956</v>
          </cell>
          <cell r="H57">
            <v>-918821.99999999895</v>
          </cell>
        </row>
        <row r="58">
          <cell r="E58">
            <v>-22631096</v>
          </cell>
          <cell r="F58">
            <v>-1910601</v>
          </cell>
          <cell r="H58">
            <v>-46392385</v>
          </cell>
          <cell r="I58">
            <v>-5175768</v>
          </cell>
        </row>
        <row r="59">
          <cell r="E59">
            <v>550410</v>
          </cell>
          <cell r="F59">
            <v>60480</v>
          </cell>
          <cell r="H59">
            <v>1407000</v>
          </cell>
          <cell r="I59">
            <v>244440</v>
          </cell>
        </row>
        <row r="63">
          <cell r="E63">
            <v>25802085</v>
          </cell>
          <cell r="F63">
            <v>10819590</v>
          </cell>
          <cell r="H63">
            <v>42943610</v>
          </cell>
          <cell r="I63">
            <v>14702127.844808223</v>
          </cell>
        </row>
        <row r="64">
          <cell r="E64">
            <v>3963048</v>
          </cell>
          <cell r="F64">
            <v>2877440</v>
          </cell>
          <cell r="H64">
            <v>4183831</v>
          </cell>
          <cell r="I64">
            <v>4234102</v>
          </cell>
        </row>
        <row r="65">
          <cell r="E65">
            <v>0</v>
          </cell>
          <cell r="F65">
            <v>0</v>
          </cell>
          <cell r="H65">
            <v>0</v>
          </cell>
          <cell r="I65">
            <v>0</v>
          </cell>
        </row>
        <row r="66">
          <cell r="E66">
            <v>21080498</v>
          </cell>
          <cell r="F66">
            <v>1917077</v>
          </cell>
          <cell r="H66">
            <v>29000539</v>
          </cell>
          <cell r="I66">
            <v>1641582</v>
          </cell>
        </row>
        <row r="67">
          <cell r="E67">
            <v>5138391</v>
          </cell>
          <cell r="F67">
            <v>5992159</v>
          </cell>
          <cell r="H67">
            <v>7732783</v>
          </cell>
          <cell r="I67">
            <v>6715774</v>
          </cell>
        </row>
        <row r="79">
          <cell r="E79">
            <v>1564413288.30618</v>
          </cell>
          <cell r="F79">
            <v>1546953853.0122299</v>
          </cell>
          <cell r="H79">
            <v>4759301287.1977501</v>
          </cell>
          <cell r="I79">
            <v>4727085427.0074997</v>
          </cell>
        </row>
        <row r="81">
          <cell r="E81">
            <v>36352139</v>
          </cell>
          <cell r="F81">
            <v>36352139</v>
          </cell>
          <cell r="H81">
            <v>61057785</v>
          </cell>
          <cell r="I81">
            <v>61180785</v>
          </cell>
        </row>
        <row r="83">
          <cell r="E83">
            <v>946288588.49154496</v>
          </cell>
          <cell r="F83">
            <v>907181078.47208798</v>
          </cell>
          <cell r="H83">
            <v>2008632153.7638299</v>
          </cell>
          <cell r="I83">
            <v>1845274304.95191</v>
          </cell>
        </row>
        <row r="87">
          <cell r="E87">
            <v>2729888659.8769102</v>
          </cell>
          <cell r="F87">
            <v>2592470562.0955</v>
          </cell>
          <cell r="H87">
            <v>2330458938.85146</v>
          </cell>
          <cell r="I87">
            <v>2213495606.1956596</v>
          </cell>
        </row>
        <row r="91">
          <cell r="E91">
            <v>166578676.55768698</v>
          </cell>
          <cell r="F91">
            <v>171819980.35525599</v>
          </cell>
          <cell r="H91">
            <v>299408836.72861302</v>
          </cell>
          <cell r="I91">
            <v>300787375.47959203</v>
          </cell>
        </row>
        <row r="93">
          <cell r="E93">
            <v>556590</v>
          </cell>
          <cell r="F93">
            <v>556590</v>
          </cell>
          <cell r="H93">
            <v>937494</v>
          </cell>
          <cell r="I93">
            <v>937494</v>
          </cell>
        </row>
        <row r="95">
          <cell r="E95">
            <v>158628151.80877402</v>
          </cell>
          <cell r="F95">
            <v>126173285.58818099</v>
          </cell>
          <cell r="H95">
            <v>152187554.20624599</v>
          </cell>
          <cell r="I95">
            <v>124460997.74483199</v>
          </cell>
        </row>
        <row r="103">
          <cell r="E103">
            <v>832881920.04076529</v>
          </cell>
          <cell r="F103">
            <v>786117268.42091835</v>
          </cell>
          <cell r="H103">
            <v>1660015290.9057624</v>
          </cell>
          <cell r="I103">
            <v>1569121008.5016026</v>
          </cell>
        </row>
        <row r="105">
          <cell r="E105">
            <v>13753270.8724999</v>
          </cell>
          <cell r="F105">
            <v>12470205.8024999</v>
          </cell>
          <cell r="H105">
            <v>12729613.5381999</v>
          </cell>
          <cell r="I105">
            <v>11375912.087799899</v>
          </cell>
        </row>
        <row r="107">
          <cell r="E107">
            <v>235304624.31738198</v>
          </cell>
          <cell r="F107">
            <v>225188387.17938799</v>
          </cell>
          <cell r="H107">
            <v>573248481.57053745</v>
          </cell>
          <cell r="I107">
            <v>537936040.41589451</v>
          </cell>
        </row>
        <row r="111">
          <cell r="E111">
            <v>662412887.85331202</v>
          </cell>
          <cell r="F111">
            <v>625202768.13859797</v>
          </cell>
          <cell r="H111">
            <v>774288201.26415408</v>
          </cell>
          <cell r="I111">
            <v>746936124.14503205</v>
          </cell>
        </row>
        <row r="115">
          <cell r="E115">
            <v>45337370.975458801</v>
          </cell>
          <cell r="F115">
            <v>48289660.903193898</v>
          </cell>
          <cell r="H115">
            <v>163560189.259835</v>
          </cell>
          <cell r="I115">
            <v>161960761.71344</v>
          </cell>
        </row>
        <row r="117">
          <cell r="H117">
            <v>546718.79</v>
          </cell>
          <cell r="I117">
            <v>546718.79</v>
          </cell>
        </row>
        <row r="119">
          <cell r="E119">
            <v>63236580.737221897</v>
          </cell>
          <cell r="F119">
            <v>49235288.149176098</v>
          </cell>
          <cell r="H119">
            <v>63490901.238920502</v>
          </cell>
          <cell r="I119">
            <v>51165785.917670801</v>
          </cell>
        </row>
        <row r="127">
          <cell r="E127">
            <v>23812668</v>
          </cell>
          <cell r="F127">
            <v>23812668</v>
          </cell>
          <cell r="H127">
            <v>37745577</v>
          </cell>
          <cell r="I127">
            <v>37745577</v>
          </cell>
        </row>
        <row r="128">
          <cell r="E128">
            <v>7652491.9671499906</v>
          </cell>
          <cell r="F128">
            <v>7207254.6072199903</v>
          </cell>
          <cell r="H128">
            <v>19280299.988277499</v>
          </cell>
          <cell r="I128">
            <v>18657875.423547499</v>
          </cell>
        </row>
        <row r="134">
          <cell r="E134">
            <v>40868204</v>
          </cell>
          <cell r="F134">
            <v>40868204</v>
          </cell>
          <cell r="H134">
            <v>51926368</v>
          </cell>
          <cell r="I134">
            <v>51926368</v>
          </cell>
        </row>
        <row r="135">
          <cell r="E135">
            <v>18312745</v>
          </cell>
          <cell r="F135">
            <v>18312745</v>
          </cell>
          <cell r="H135">
            <v>21267930</v>
          </cell>
          <cell r="I135">
            <v>21267930</v>
          </cell>
        </row>
        <row r="148">
          <cell r="E148">
            <v>302647</v>
          </cell>
          <cell r="F148">
            <v>302647</v>
          </cell>
          <cell r="H148">
            <v>1066805</v>
          </cell>
          <cell r="I148">
            <v>1066805</v>
          </cell>
        </row>
        <row r="230">
          <cell r="E230">
            <v>1050066</v>
          </cell>
          <cell r="H230">
            <v>25261807</v>
          </cell>
        </row>
        <row r="234">
          <cell r="H234">
            <v>-110144</v>
          </cell>
        </row>
        <row r="247">
          <cell r="E247">
            <v>2627160</v>
          </cell>
          <cell r="H247">
            <v>4999999</v>
          </cell>
        </row>
        <row r="249">
          <cell r="E249">
            <v>306000</v>
          </cell>
          <cell r="H249">
            <v>2275000</v>
          </cell>
        </row>
        <row r="252">
          <cell r="E252">
            <v>3742538.1772799902</v>
          </cell>
          <cell r="F252">
            <v>302201.54999999993</v>
          </cell>
          <cell r="H252">
            <v>1513121.52</v>
          </cell>
        </row>
        <row r="253">
          <cell r="E253">
            <v>159359.99999999898</v>
          </cell>
          <cell r="F253">
            <v>111620.51999999997</v>
          </cell>
          <cell r="H253">
            <v>3099999.9999999902</v>
          </cell>
          <cell r="I253">
            <v>27570</v>
          </cell>
        </row>
        <row r="254">
          <cell r="E254">
            <v>2700000</v>
          </cell>
          <cell r="F254">
            <v>53264.52</v>
          </cell>
          <cell r="H254">
            <v>4700000.04</v>
          </cell>
        </row>
        <row r="255">
          <cell r="E255">
            <v>49999.999999999898</v>
          </cell>
          <cell r="H255">
            <v>0</v>
          </cell>
          <cell r="I255">
            <v>0</v>
          </cell>
        </row>
        <row r="258">
          <cell r="E258">
            <v>5054790</v>
          </cell>
          <cell r="F258">
            <v>157404</v>
          </cell>
          <cell r="H258">
            <v>846050</v>
          </cell>
          <cell r="I258">
            <v>213233</v>
          </cell>
        </row>
        <row r="259">
          <cell r="E259">
            <v>4884491.2800000012</v>
          </cell>
          <cell r="H259">
            <v>5550000.0000009835</v>
          </cell>
          <cell r="I259">
            <v>0</v>
          </cell>
        </row>
        <row r="261">
          <cell r="E261">
            <v>44418234.770070001</v>
          </cell>
          <cell r="H261">
            <v>103589966.1837</v>
          </cell>
        </row>
        <row r="263">
          <cell r="H263">
            <v>1255379.9999999902</v>
          </cell>
        </row>
        <row r="270">
          <cell r="E270">
            <v>14105982.595799999</v>
          </cell>
          <cell r="H270">
            <v>46006231.325100005</v>
          </cell>
        </row>
        <row r="273">
          <cell r="E273">
            <v>698788.44137000002</v>
          </cell>
          <cell r="H273">
            <v>1265948.2381</v>
          </cell>
          <cell r="I273">
            <v>232947</v>
          </cell>
        </row>
        <row r="282">
          <cell r="E282">
            <v>23875227.434500001</v>
          </cell>
          <cell r="H282">
            <v>48519218.918899998</v>
          </cell>
        </row>
        <row r="313">
          <cell r="E313">
            <v>2394307.6842809501</v>
          </cell>
          <cell r="H313">
            <v>428928.07</v>
          </cell>
        </row>
        <row r="315">
          <cell r="E315">
            <v>220868.309000876</v>
          </cell>
          <cell r="H315">
            <v>211829.17286937</v>
          </cell>
        </row>
        <row r="317">
          <cell r="E317">
            <v>4225195.7624133006</v>
          </cell>
          <cell r="H317">
            <v>1139994.1295436099</v>
          </cell>
        </row>
        <row r="360">
          <cell r="H360">
            <v>5.5800000000000002E-2</v>
          </cell>
        </row>
        <row r="361">
          <cell r="H361">
            <v>1.9599999999999999E-6</v>
          </cell>
        </row>
        <row r="364">
          <cell r="H364">
            <v>7.4999999999999997E-3</v>
          </cell>
        </row>
        <row r="365">
          <cell r="H365">
            <v>5.0999999999999997E-2</v>
          </cell>
        </row>
        <row r="368">
          <cell r="E368">
            <v>5.6599999999999998E-2</v>
          </cell>
          <cell r="H368">
            <v>5.6599999999999998E-2</v>
          </cell>
        </row>
        <row r="369">
          <cell r="E369">
            <v>0.96920700000000004</v>
          </cell>
          <cell r="H369">
            <v>1.8220000000000001E-3</v>
          </cell>
        </row>
        <row r="372">
          <cell r="H372">
            <v>0.08</v>
          </cell>
        </row>
        <row r="373">
          <cell r="H373">
            <v>0.3851</v>
          </cell>
        </row>
        <row r="376">
          <cell r="H376">
            <v>6.5000000000000002E-2</v>
          </cell>
        </row>
        <row r="377">
          <cell r="H377">
            <v>0.24385899999999999</v>
          </cell>
        </row>
        <row r="390">
          <cell r="I390">
            <v>5841000</v>
          </cell>
        </row>
        <row r="400">
          <cell r="F400">
            <v>38804640</v>
          </cell>
          <cell r="I400">
            <v>529535.43719999923</v>
          </cell>
        </row>
        <row r="401">
          <cell r="I401">
            <v>16253095.614799976</v>
          </cell>
        </row>
        <row r="402">
          <cell r="I402">
            <v>27828628.20099996</v>
          </cell>
        </row>
        <row r="403">
          <cell r="F403">
            <v>1616860.0000000014</v>
          </cell>
          <cell r="I403">
            <v>25433110.746999964</v>
          </cell>
        </row>
        <row r="412">
          <cell r="F412">
            <v>8785731.5076906607</v>
          </cell>
          <cell r="I412">
            <v>11464729.4790408</v>
          </cell>
        </row>
        <row r="413">
          <cell r="F413">
            <v>-3002143.5812676698</v>
          </cell>
          <cell r="I413">
            <v>-3901557.8616813798</v>
          </cell>
        </row>
        <row r="415">
          <cell r="F415">
            <v>47418</v>
          </cell>
          <cell r="I415">
            <v>62034</v>
          </cell>
        </row>
        <row r="416">
          <cell r="F416">
            <v>-16445.602193631999</v>
          </cell>
          <cell r="I416">
            <v>-21079.921598678498</v>
          </cell>
        </row>
        <row r="418">
          <cell r="F418">
            <v>95158.080000000002</v>
          </cell>
          <cell r="I418">
            <v>65795.51999999999</v>
          </cell>
        </row>
        <row r="419">
          <cell r="F419">
            <v>-34143.986265970001</v>
          </cell>
          <cell r="I419">
            <v>-20889.053600047799</v>
          </cell>
        </row>
        <row r="430">
          <cell r="I430">
            <v>1962000</v>
          </cell>
        </row>
        <row r="433">
          <cell r="I433">
            <v>5600000</v>
          </cell>
        </row>
        <row r="439">
          <cell r="I439">
            <v>9202569</v>
          </cell>
        </row>
        <row r="440">
          <cell r="I440">
            <v>7934431</v>
          </cell>
        </row>
        <row r="441">
          <cell r="F441">
            <v>182000</v>
          </cell>
        </row>
        <row r="444">
          <cell r="F444">
            <v>12000</v>
          </cell>
          <cell r="I444">
            <v>12000</v>
          </cell>
        </row>
        <row r="464">
          <cell r="E464">
            <v>1326353817.5835099</v>
          </cell>
          <cell r="F464">
            <v>1255743797.4630599</v>
          </cell>
          <cell r="H464">
            <v>2411193635.9361401</v>
          </cell>
          <cell r="I464">
            <v>2313077120.9465299</v>
          </cell>
        </row>
        <row r="466">
          <cell r="H466">
            <v>31744488.366</v>
          </cell>
          <cell r="I466">
            <v>31744488.366</v>
          </cell>
        </row>
        <row r="467">
          <cell r="E467">
            <v>1325251.47437499</v>
          </cell>
          <cell r="F467">
            <v>2173053.4618749898</v>
          </cell>
          <cell r="H467">
            <v>-305149.310424998</v>
          </cell>
          <cell r="I467">
            <v>-1974641.37882499</v>
          </cell>
        </row>
        <row r="475">
          <cell r="E475">
            <v>1391719866.4268701</v>
          </cell>
          <cell r="F475">
            <v>1292201442.26948</v>
          </cell>
          <cell r="H475">
            <v>2710125000</v>
          </cell>
          <cell r="I475">
            <v>2616875000</v>
          </cell>
        </row>
        <row r="484">
          <cell r="E484">
            <v>67618720.159450606</v>
          </cell>
          <cell r="H484">
            <v>120162078.507755</v>
          </cell>
        </row>
        <row r="487">
          <cell r="E487">
            <v>1012128.9114611699</v>
          </cell>
          <cell r="H487">
            <v>1774381.65546218</v>
          </cell>
        </row>
        <row r="488">
          <cell r="E488">
            <v>807782.09538461501</v>
          </cell>
          <cell r="H488">
            <v>206543.99999999898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EPCO"/>
      <sheetName val="SWE WS C RB Tax"/>
      <sheetName val="PSO"/>
      <sheetName val="PSO WS C RB Tax"/>
    </sheetNames>
    <sheetDataSet>
      <sheetData sheetId="0"/>
      <sheetData sheetId="1"/>
      <sheetData sheetId="2"/>
      <sheetData sheetId="3">
        <row r="16">
          <cell r="G16">
            <v>0</v>
          </cell>
          <cell r="I16">
            <v>0</v>
          </cell>
        </row>
        <row r="22">
          <cell r="G22">
            <v>0</v>
          </cell>
          <cell r="I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2"/>
  <sheetViews>
    <sheetView topLeftCell="A7" zoomScale="81" zoomScaleNormal="81" zoomScaleSheetLayoutView="88" zoomScalePageLayoutView="70" workbookViewId="0">
      <selection activeCell="M33" sqref="M33"/>
    </sheetView>
  </sheetViews>
  <sheetFormatPr defaultColWidth="11.42578125" defaultRowHeight="15"/>
  <cols>
    <col min="1" max="1" width="4.140625" style="15" customWidth="1"/>
    <col min="2" max="2" width="5.85546875" style="3" bestFit="1" customWidth="1"/>
    <col min="3" max="3" width="2" style="15" customWidth="1"/>
    <col min="4" max="4" width="47.7109375" style="15" customWidth="1"/>
    <col min="5" max="5" width="25.7109375" style="15" customWidth="1"/>
    <col min="6" max="6" width="12.5703125" style="15" customWidth="1"/>
    <col min="7" max="7" width="26.5703125" style="15" customWidth="1"/>
    <col min="8" max="8" width="2.7109375" style="15" customWidth="1"/>
    <col min="9" max="9" width="19.42578125" style="15" bestFit="1" customWidth="1"/>
    <col min="10" max="10" width="2.7109375" style="15" customWidth="1"/>
    <col min="11" max="11" width="18" style="15" bestFit="1" customWidth="1"/>
    <col min="12" max="12" width="2.5703125" style="15" customWidth="1"/>
    <col min="13" max="13" width="21.7109375" style="15" customWidth="1"/>
    <col min="14" max="14" width="11.28515625" style="15" customWidth="1"/>
    <col min="15" max="15" width="17.28515625" style="15" customWidth="1"/>
    <col min="16" max="16" width="13.7109375" style="15" customWidth="1"/>
    <col min="17" max="17" width="13.85546875" style="15" customWidth="1"/>
    <col min="18" max="18" width="11.42578125" style="15"/>
    <col min="19" max="19" width="16.42578125" style="15" customWidth="1"/>
    <col min="20" max="16384" width="11.42578125" style="15"/>
  </cols>
  <sheetData>
    <row r="1" spans="1:23">
      <c r="A1" s="731"/>
      <c r="B1" s="731"/>
      <c r="C1" s="731"/>
      <c r="D1" s="731"/>
      <c r="E1" s="731"/>
      <c r="F1" s="731"/>
      <c r="G1" s="731"/>
      <c r="H1" s="731"/>
      <c r="J1" s="731"/>
      <c r="K1" s="731"/>
      <c r="L1" s="731"/>
      <c r="M1" s="251"/>
      <c r="N1" s="732"/>
    </row>
    <row r="2" spans="1:23">
      <c r="B2" s="37"/>
      <c r="C2" s="5"/>
      <c r="D2" s="5"/>
      <c r="E2" s="5"/>
      <c r="F2" s="5"/>
      <c r="G2" s="5"/>
      <c r="H2" s="5"/>
      <c r="J2" s="5"/>
      <c r="K2" s="5"/>
      <c r="L2" s="5"/>
      <c r="M2" s="251"/>
    </row>
    <row r="3" spans="1:23">
      <c r="B3" s="37"/>
      <c r="C3" s="5"/>
      <c r="D3" s="14"/>
      <c r="E3" s="14"/>
      <c r="F3" s="191" t="s">
        <v>1121</v>
      </c>
      <c r="G3" s="734"/>
      <c r="H3" s="734"/>
      <c r="K3" s="14"/>
      <c r="L3" s="7"/>
    </row>
    <row r="4" spans="1:23">
      <c r="B4" s="37"/>
      <c r="C4" s="5"/>
      <c r="D4" s="14"/>
      <c r="E4" s="8"/>
      <c r="F4" s="764" t="s">
        <v>588</v>
      </c>
      <c r="G4" s="734"/>
      <c r="H4" s="734"/>
      <c r="K4" s="8"/>
      <c r="L4" s="7"/>
    </row>
    <row r="5" spans="1:23">
      <c r="B5" s="37"/>
      <c r="C5" s="5"/>
      <c r="D5" s="7" t="s">
        <v>589</v>
      </c>
      <c r="E5" s="7"/>
      <c r="F5" s="733" t="str">
        <f>"For the "&amp;'PSO TCOS'!$N$1&amp;" Rate Year "</f>
        <v xml:space="preserve">For the 2019 Rate Year </v>
      </c>
      <c r="G5" s="734"/>
      <c r="H5" s="734"/>
      <c r="K5" s="7"/>
      <c r="L5" s="7"/>
      <c r="M5" s="7"/>
    </row>
    <row r="6" spans="1:23">
      <c r="B6" s="35"/>
      <c r="C6" s="30"/>
      <c r="D6" s="7"/>
      <c r="H6" s="379"/>
      <c r="J6" s="379"/>
      <c r="K6" s="379"/>
      <c r="L6" s="379"/>
      <c r="M6" s="7"/>
    </row>
    <row r="7" spans="1:23" ht="15.75">
      <c r="B7" s="35"/>
      <c r="C7" s="30"/>
      <c r="D7" s="7"/>
      <c r="F7" s="377" t="s">
        <v>1422</v>
      </c>
      <c r="G7" s="190"/>
      <c r="H7" s="7"/>
      <c r="J7" s="7"/>
      <c r="K7" s="7"/>
      <c r="L7" s="7"/>
      <c r="O7" s="597"/>
      <c r="P7" s="597"/>
      <c r="Q7" s="597"/>
      <c r="R7" s="597"/>
      <c r="S7" s="597"/>
      <c r="T7" s="597"/>
      <c r="U7" s="597"/>
      <c r="V7" s="597"/>
      <c r="W7" s="597"/>
    </row>
    <row r="8" spans="1:23" ht="15.75">
      <c r="B8" s="35"/>
      <c r="C8" s="30"/>
      <c r="D8" s="7"/>
      <c r="E8" s="7"/>
      <c r="F8" s="379"/>
      <c r="G8" s="190"/>
      <c r="H8" s="7"/>
      <c r="I8" s="735" t="s">
        <v>141</v>
      </c>
      <c r="J8" s="7"/>
      <c r="K8" s="380" t="s">
        <v>590</v>
      </c>
      <c r="L8" s="380"/>
      <c r="M8" s="736" t="s">
        <v>591</v>
      </c>
      <c r="O8" s="597"/>
      <c r="P8" s="597"/>
      <c r="Q8" s="597"/>
      <c r="R8" s="597"/>
      <c r="S8" s="597"/>
      <c r="T8" s="597"/>
      <c r="U8" s="597"/>
      <c r="V8" s="597"/>
      <c r="W8" s="597"/>
    </row>
    <row r="9" spans="1:23" ht="15.75">
      <c r="B9" s="35" t="s">
        <v>345</v>
      </c>
      <c r="C9" s="30"/>
      <c r="D9" s="7"/>
      <c r="E9" s="7"/>
      <c r="F9" s="380"/>
      <c r="G9" s="190"/>
      <c r="H9" s="7"/>
      <c r="I9" s="735" t="s">
        <v>45</v>
      </c>
      <c r="J9" s="7"/>
      <c r="K9" s="380" t="s">
        <v>45</v>
      </c>
      <c r="L9" s="380"/>
      <c r="M9" s="380" t="s">
        <v>45</v>
      </c>
      <c r="O9" s="597"/>
      <c r="P9" s="597"/>
      <c r="Q9" s="597"/>
      <c r="R9" s="597"/>
      <c r="S9" s="597"/>
      <c r="T9" s="597"/>
      <c r="U9" s="597"/>
      <c r="V9" s="597"/>
      <c r="W9" s="597"/>
    </row>
    <row r="10" spans="1:23" ht="16.5" thickBot="1">
      <c r="B10" s="381" t="s">
        <v>294</v>
      </c>
      <c r="C10" s="25"/>
      <c r="D10" s="7"/>
      <c r="E10" s="25"/>
      <c r="F10" s="7"/>
      <c r="G10" s="7"/>
      <c r="H10" s="7"/>
      <c r="I10" s="735" t="s">
        <v>144</v>
      </c>
      <c r="J10" s="7"/>
      <c r="K10" s="735" t="s">
        <v>144</v>
      </c>
      <c r="L10" s="380"/>
      <c r="M10" s="735" t="s">
        <v>144</v>
      </c>
      <c r="O10" s="597"/>
      <c r="P10" s="597"/>
      <c r="Q10" s="597"/>
      <c r="R10" s="597"/>
      <c r="S10" s="597"/>
      <c r="T10" s="597"/>
      <c r="U10" s="597"/>
      <c r="V10" s="597"/>
      <c r="W10" s="597"/>
    </row>
    <row r="11" spans="1:23">
      <c r="B11" s="254"/>
      <c r="C11" s="25"/>
      <c r="D11" s="7"/>
      <c r="E11" s="25"/>
      <c r="F11" s="7"/>
      <c r="G11" s="7"/>
      <c r="H11" s="7"/>
      <c r="J11" s="7"/>
      <c r="L11" s="7"/>
      <c r="O11" s="597"/>
      <c r="P11" s="597"/>
      <c r="Q11" s="597"/>
      <c r="R11" s="597"/>
      <c r="S11" s="597"/>
      <c r="T11" s="597"/>
      <c r="U11" s="597"/>
      <c r="V11" s="597"/>
      <c r="W11" s="597"/>
    </row>
    <row r="12" spans="1:23" ht="15.75">
      <c r="A12" s="735" t="s">
        <v>145</v>
      </c>
      <c r="B12" s="1074" t="s">
        <v>592</v>
      </c>
      <c r="C12" s="25"/>
      <c r="D12" s="7"/>
      <c r="E12" s="25"/>
      <c r="F12" s="7"/>
      <c r="G12" s="7"/>
      <c r="H12" s="7"/>
      <c r="J12" s="7"/>
      <c r="L12" s="7"/>
      <c r="O12" s="597"/>
      <c r="P12" s="597"/>
      <c r="Q12" s="597"/>
      <c r="R12" s="597"/>
      <c r="S12" s="597"/>
      <c r="T12" s="597"/>
      <c r="U12" s="597"/>
      <c r="V12" s="597"/>
      <c r="W12" s="597"/>
    </row>
    <row r="13" spans="1:23" ht="15.75">
      <c r="A13" s="735"/>
      <c r="B13" s="254">
        <v>1</v>
      </c>
      <c r="C13" s="25"/>
      <c r="D13" s="739" t="s">
        <v>593</v>
      </c>
      <c r="E13" s="25"/>
      <c r="F13" s="7"/>
      <c r="G13" s="30" t="str">
        <f>"(TCOS Line "&amp;'PSO TCOS'!B11&amp;" )"</f>
        <v>(TCOS Line 1 )</v>
      </c>
      <c r="H13" s="7"/>
      <c r="I13" s="737">
        <f>+K13+M13</f>
        <v>276608707.30855942</v>
      </c>
      <c r="J13" s="7"/>
      <c r="K13" s="246">
        <f>+'PSO TCOS'!L11</f>
        <v>97521772.229186505</v>
      </c>
      <c r="L13" s="7"/>
      <c r="M13" s="246">
        <f>+'SWEPCO TCOS'!L11</f>
        <v>179086935.07937288</v>
      </c>
      <c r="N13" s="738"/>
      <c r="O13" s="597"/>
      <c r="P13" s="597"/>
      <c r="Q13" s="597"/>
      <c r="R13" s="597"/>
      <c r="S13" s="597"/>
      <c r="T13" s="597"/>
      <c r="U13" s="597"/>
      <c r="V13" s="597"/>
      <c r="W13" s="597"/>
    </row>
    <row r="14" spans="1:23" ht="15.75">
      <c r="A14" s="735"/>
      <c r="B14" s="254"/>
      <c r="C14" s="25"/>
      <c r="D14" s="739"/>
      <c r="E14" s="25"/>
      <c r="F14" s="7"/>
      <c r="G14" s="7"/>
      <c r="H14" s="7"/>
      <c r="I14" s="737"/>
      <c r="J14" s="7"/>
      <c r="K14" s="246"/>
      <c r="L14" s="7"/>
      <c r="M14" s="246"/>
      <c r="O14" s="597"/>
      <c r="P14" s="597"/>
      <c r="Q14" s="597"/>
      <c r="R14" s="597"/>
      <c r="S14" s="597"/>
      <c r="T14" s="597"/>
      <c r="U14" s="597"/>
      <c r="V14" s="597"/>
      <c r="W14" s="597"/>
    </row>
    <row r="15" spans="1:23" ht="15.75">
      <c r="A15" s="735"/>
      <c r="B15" s="254">
        <f>+B13+1</f>
        <v>2</v>
      </c>
      <c r="C15" s="25"/>
      <c r="D15" s="7" t="s">
        <v>595</v>
      </c>
      <c r="E15" s="25"/>
      <c r="F15" s="7"/>
      <c r="G15" s="30" t="str">
        <f>"(TCOS Line "&amp;'PSO TCOS'!B13&amp;" )"</f>
        <v>(TCOS Line 2 )</v>
      </c>
      <c r="H15" s="7"/>
      <c r="I15" s="737">
        <f>(K15+M15)</f>
        <v>13379664.59</v>
      </c>
      <c r="J15" s="7"/>
      <c r="K15" s="246">
        <f>+'PSO TCOS'!L13</f>
        <v>6362726.8883999996</v>
      </c>
      <c r="L15" s="382"/>
      <c r="M15" s="246">
        <f>+'SWEPCO TCOS'!L13</f>
        <v>7016937.7016000003</v>
      </c>
      <c r="O15" s="597"/>
      <c r="P15" s="597"/>
      <c r="Q15" s="597"/>
      <c r="R15" s="597"/>
      <c r="S15" s="597"/>
      <c r="T15" s="597"/>
      <c r="U15" s="597"/>
      <c r="V15" s="597"/>
      <c r="W15" s="597"/>
    </row>
    <row r="16" spans="1:23" ht="15.75">
      <c r="A16" s="735"/>
      <c r="B16" s="1074"/>
      <c r="C16" s="25"/>
      <c r="D16" s="7"/>
      <c r="E16" s="25"/>
      <c r="F16" s="7"/>
      <c r="G16" s="7"/>
      <c r="H16" s="7"/>
      <c r="I16" s="1064"/>
      <c r="J16" s="20"/>
      <c r="K16" s="1064"/>
      <c r="L16" s="20"/>
      <c r="M16" s="1064"/>
      <c r="O16" s="597"/>
      <c r="P16" s="597"/>
      <c r="Q16" s="597"/>
      <c r="R16" s="597"/>
      <c r="S16" s="597"/>
      <c r="T16" s="597"/>
      <c r="U16" s="597"/>
      <c r="V16" s="597"/>
      <c r="W16" s="597"/>
    </row>
    <row r="17" spans="1:23" ht="15.75">
      <c r="A17" s="735"/>
      <c r="B17" s="254">
        <f>+B15+1</f>
        <v>3</v>
      </c>
      <c r="C17" s="25"/>
      <c r="D17" s="739" t="s">
        <v>594</v>
      </c>
      <c r="E17" s="25"/>
      <c r="F17" s="7"/>
      <c r="G17" s="30" t="str">
        <f>"(TCOS Line "&amp;'PSO TCOS'!B15&amp;" )"</f>
        <v>(TCOS Line 3 )</v>
      </c>
      <c r="H17" s="7"/>
      <c r="I17" s="1065">
        <f>+K17+M17</f>
        <v>0</v>
      </c>
      <c r="J17" s="20"/>
      <c r="K17" s="1065">
        <f>+'PSO TCOS'!L15</f>
        <v>0</v>
      </c>
      <c r="L17" s="20"/>
      <c r="M17" s="1065">
        <f>+'SWEPCO TCOS'!L15</f>
        <v>0</v>
      </c>
      <c r="O17" s="597"/>
      <c r="P17" s="597"/>
      <c r="Q17" s="597"/>
      <c r="R17" s="597"/>
      <c r="S17" s="597"/>
      <c r="T17" s="597"/>
      <c r="U17" s="597"/>
      <c r="V17" s="597"/>
      <c r="W17" s="597"/>
    </row>
    <row r="18" spans="1:23" ht="15.75">
      <c r="A18" s="735"/>
      <c r="B18" s="254"/>
      <c r="C18" s="25"/>
      <c r="D18" s="739"/>
      <c r="E18" s="25"/>
      <c r="F18" s="7"/>
      <c r="G18" s="7"/>
      <c r="H18" s="7"/>
      <c r="I18" s="737"/>
      <c r="J18" s="7"/>
      <c r="K18" s="246"/>
      <c r="L18" s="7"/>
      <c r="M18" s="246"/>
      <c r="O18" s="597"/>
      <c r="P18" s="597"/>
      <c r="Q18" s="597"/>
      <c r="R18" s="597"/>
      <c r="S18" s="597"/>
      <c r="T18" s="597"/>
      <c r="U18" s="597"/>
      <c r="V18" s="597"/>
      <c r="W18" s="597"/>
    </row>
    <row r="19" spans="1:23">
      <c r="B19" s="35">
        <f>+B17+1</f>
        <v>4</v>
      </c>
      <c r="C19" s="30"/>
      <c r="D19" s="739" t="s">
        <v>596</v>
      </c>
      <c r="F19" s="247"/>
      <c r="G19" s="30" t="str">
        <f>"(TCOS Line "&amp;'PSO TCOS'!B17&amp;" )"</f>
        <v>(TCOS Line 4 )</v>
      </c>
      <c r="H19" s="5"/>
      <c r="I19" s="1066">
        <f>+K19+M19</f>
        <v>263229042.71855938</v>
      </c>
      <c r="J19" s="22"/>
      <c r="K19" s="1063">
        <f>+K13+K17-K15</f>
        <v>91159045.340786502</v>
      </c>
      <c r="L19" s="5"/>
      <c r="M19" s="1063">
        <f>+M13+M17-M15</f>
        <v>172069997.37777287</v>
      </c>
      <c r="O19" s="597"/>
      <c r="P19" s="597"/>
      <c r="Q19" s="597"/>
      <c r="R19" s="597"/>
      <c r="S19" s="597"/>
      <c r="T19" s="597"/>
      <c r="U19" s="597"/>
      <c r="V19" s="597"/>
      <c r="W19" s="597"/>
    </row>
    <row r="20" spans="1:23">
      <c r="B20" s="35"/>
      <c r="C20" s="30"/>
      <c r="D20" s="739"/>
      <c r="E20" s="7"/>
      <c r="F20" s="247"/>
      <c r="G20" s="5"/>
      <c r="H20" s="5"/>
      <c r="J20" s="5"/>
      <c r="K20" s="741">
        <f>K19/I19</f>
        <v>0.346310742915448</v>
      </c>
      <c r="L20" s="5"/>
      <c r="M20" s="741">
        <f>1-K20</f>
        <v>0.65368925708455206</v>
      </c>
      <c r="O20" s="597"/>
      <c r="P20" s="597"/>
      <c r="Q20" s="597"/>
      <c r="R20" s="597"/>
      <c r="S20" s="597"/>
      <c r="T20" s="597"/>
      <c r="U20" s="597"/>
      <c r="V20" s="597"/>
      <c r="W20" s="597"/>
    </row>
    <row r="21" spans="1:23">
      <c r="B21" s="35">
        <f>+B19+1</f>
        <v>5</v>
      </c>
      <c r="C21" s="30"/>
      <c r="D21" s="739" t="s">
        <v>597</v>
      </c>
      <c r="E21" s="7"/>
      <c r="F21" s="247"/>
      <c r="G21" s="5"/>
      <c r="H21" s="5"/>
      <c r="J21" s="5"/>
      <c r="L21" s="5"/>
      <c r="O21" s="597"/>
      <c r="P21" s="597"/>
      <c r="Q21" s="597"/>
      <c r="R21" s="597"/>
      <c r="S21" s="597"/>
      <c r="T21" s="597"/>
      <c r="U21" s="597"/>
      <c r="V21" s="597"/>
      <c r="W21" s="597"/>
    </row>
    <row r="22" spans="1:23">
      <c r="B22" s="35">
        <f>+B21+1</f>
        <v>6</v>
      </c>
      <c r="C22" s="30"/>
      <c r="D22" s="739" t="s">
        <v>598</v>
      </c>
      <c r="E22" s="7"/>
      <c r="F22" s="247"/>
      <c r="G22" s="30" t="str">
        <f>"(TCOS Line "&amp;'PSO TCOS'!B22&amp;" )"</f>
        <v>(TCOS Line 5 )</v>
      </c>
      <c r="H22" s="5"/>
      <c r="I22" s="737">
        <f>(K22+M22)</f>
        <v>86841696.946913376</v>
      </c>
      <c r="J22" s="5"/>
      <c r="K22" s="742">
        <f>+'PSO TCOS'!L22</f>
        <v>7470466.2267492693</v>
      </c>
      <c r="L22" s="742"/>
      <c r="M22" s="742">
        <f>+'SWEPCO TCOS'!L22</f>
        <v>79371230.720164105</v>
      </c>
      <c r="O22" s="597"/>
      <c r="P22" s="597"/>
      <c r="Q22" s="597"/>
      <c r="R22" s="597"/>
      <c r="S22" s="597"/>
      <c r="T22" s="597"/>
      <c r="U22" s="597"/>
      <c r="V22" s="597"/>
      <c r="W22" s="597"/>
    </row>
    <row r="23" spans="1:23">
      <c r="B23" s="35">
        <f>+B22+1</f>
        <v>7</v>
      </c>
      <c r="C23" s="30"/>
      <c r="D23" s="739" t="s">
        <v>599</v>
      </c>
      <c r="E23" s="7"/>
      <c r="F23" s="247"/>
      <c r="G23" s="30" t="str">
        <f>"(Worksheet F/G)"</f>
        <v>(Worksheet F/G)</v>
      </c>
      <c r="H23" s="5"/>
      <c r="I23" s="737">
        <f>+K23+M23</f>
        <v>0</v>
      </c>
      <c r="J23" s="5"/>
      <c r="K23" s="742">
        <v>0</v>
      </c>
      <c r="L23" s="742"/>
      <c r="M23" s="742">
        <v>0</v>
      </c>
      <c r="O23" s="597"/>
      <c r="P23" s="597"/>
      <c r="Q23" s="597"/>
      <c r="R23" s="597"/>
      <c r="S23" s="597"/>
      <c r="T23" s="597"/>
      <c r="U23" s="597"/>
      <c r="V23" s="597"/>
      <c r="W23" s="597"/>
    </row>
    <row r="24" spans="1:23">
      <c r="B24" s="35">
        <f>+B23+1</f>
        <v>8</v>
      </c>
      <c r="C24" s="30"/>
      <c r="D24" s="739" t="s">
        <v>600</v>
      </c>
      <c r="E24" s="7"/>
      <c r="F24" s="247"/>
      <c r="G24" s="30" t="str">
        <f>"(Worksheet F/G)"</f>
        <v>(Worksheet F/G)</v>
      </c>
      <c r="H24" s="5"/>
      <c r="I24" s="743">
        <f>+K24+M24</f>
        <v>0</v>
      </c>
      <c r="J24" s="5"/>
      <c r="K24" s="744">
        <v>0</v>
      </c>
      <c r="L24" s="742"/>
      <c r="M24" s="744">
        <v>0</v>
      </c>
      <c r="O24" s="597"/>
      <c r="P24" s="597"/>
      <c r="Q24" s="597"/>
      <c r="R24" s="597"/>
      <c r="S24" s="597"/>
      <c r="T24" s="597"/>
      <c r="U24" s="597"/>
      <c r="V24" s="597"/>
      <c r="W24" s="597"/>
    </row>
    <row r="25" spans="1:23">
      <c r="B25" s="35">
        <f>+B24+1</f>
        <v>9</v>
      </c>
      <c r="C25" s="30"/>
      <c r="D25" s="745" t="s">
        <v>601</v>
      </c>
      <c r="E25" s="7" t="s">
        <v>291</v>
      </c>
      <c r="F25" s="247"/>
      <c r="G25" s="5"/>
      <c r="H25" s="5"/>
      <c r="I25" s="742">
        <f>(I24+I23+I22)</f>
        <v>86841696.946913376</v>
      </c>
      <c r="J25" s="5"/>
      <c r="K25" s="742">
        <f>+K24+K23+K22</f>
        <v>7470466.2267492693</v>
      </c>
      <c r="L25" s="742"/>
      <c r="M25" s="742">
        <f>+M24+M23+M22</f>
        <v>79371230.720164105</v>
      </c>
      <c r="O25" s="597"/>
      <c r="P25" s="597"/>
      <c r="Q25" s="597"/>
      <c r="R25" s="597"/>
      <c r="S25" s="597"/>
      <c r="T25" s="597"/>
      <c r="U25" s="597"/>
      <c r="V25" s="597"/>
      <c r="W25" s="597"/>
    </row>
    <row r="26" spans="1:23">
      <c r="B26" s="35"/>
      <c r="C26" s="30"/>
      <c r="D26" s="739"/>
      <c r="E26" s="7"/>
      <c r="F26" s="247"/>
      <c r="G26" s="5"/>
      <c r="H26" s="5"/>
      <c r="I26" s="743"/>
      <c r="J26" s="5"/>
      <c r="K26" s="744"/>
      <c r="L26" s="742"/>
      <c r="M26" s="744"/>
      <c r="O26" s="597"/>
      <c r="P26" s="597"/>
      <c r="Q26" s="597"/>
      <c r="R26" s="597"/>
      <c r="S26" s="597"/>
      <c r="T26" s="597"/>
      <c r="U26" s="597"/>
      <c r="V26" s="597"/>
      <c r="W26" s="597"/>
    </row>
    <row r="27" spans="1:23">
      <c r="B27" s="35">
        <f>+B25+1</f>
        <v>10</v>
      </c>
      <c r="C27" s="30"/>
      <c r="D27" s="739" t="s">
        <v>602</v>
      </c>
      <c r="E27" s="7"/>
      <c r="G27" s="247" t="str">
        <f>"(Line "&amp;B19&amp;"- Line "&amp;B25&amp;")"</f>
        <v>(Line 4- Line 9)</v>
      </c>
      <c r="H27" s="5"/>
      <c r="I27" s="737">
        <f>(K27+M27)</f>
        <v>176387345.77164599</v>
      </c>
      <c r="J27" s="5"/>
      <c r="K27" s="742">
        <f>+K19-K25</f>
        <v>83688579.114037231</v>
      </c>
      <c r="L27" s="742"/>
      <c r="M27" s="742">
        <f>+M19-M25</f>
        <v>92698766.657608762</v>
      </c>
      <c r="O27" s="597"/>
      <c r="P27" s="597"/>
      <c r="Q27" s="597"/>
      <c r="R27" s="597"/>
      <c r="S27" s="597"/>
      <c r="T27" s="597"/>
      <c r="U27" s="597"/>
      <c r="V27" s="597"/>
      <c r="W27" s="597"/>
    </row>
    <row r="28" spans="1:23">
      <c r="B28" s="15"/>
      <c r="C28" s="30"/>
      <c r="E28" s="7"/>
      <c r="G28" s="5"/>
      <c r="H28" s="5"/>
      <c r="J28" s="5"/>
      <c r="O28" s="597"/>
      <c r="P28" s="597"/>
      <c r="Q28" s="597"/>
      <c r="R28" s="597"/>
      <c r="S28" s="597"/>
      <c r="T28" s="597"/>
      <c r="U28" s="597"/>
      <c r="V28" s="597"/>
      <c r="W28" s="597"/>
    </row>
    <row r="29" spans="1:23">
      <c r="B29" s="35">
        <f>+B27+1</f>
        <v>11</v>
      </c>
      <c r="C29" s="30"/>
      <c r="D29" s="739" t="s">
        <v>603</v>
      </c>
      <c r="E29" s="7"/>
      <c r="F29" s="247"/>
      <c r="G29" s="30" t="str">
        <f>"(TCOS Line "&amp;'PSO TCOS'!B34&amp;" )"</f>
        <v>(TCOS Line 13 )</v>
      </c>
      <c r="H29" s="5"/>
      <c r="I29" s="737">
        <f>+K29+M29</f>
        <v>0</v>
      </c>
      <c r="J29" s="5"/>
      <c r="K29" s="742">
        <f>+'PSO TCOS'!L34</f>
        <v>0</v>
      </c>
      <c r="L29" s="742"/>
      <c r="M29" s="742">
        <f>+'SWEPCO TCOS'!L34</f>
        <v>0</v>
      </c>
      <c r="O29" s="597"/>
      <c r="P29" s="597"/>
      <c r="Q29" s="597"/>
      <c r="R29" s="597"/>
      <c r="S29" s="597"/>
      <c r="T29" s="597"/>
      <c r="U29" s="597"/>
      <c r="V29" s="597"/>
      <c r="W29" s="597"/>
    </row>
    <row r="30" spans="1:23" ht="15.75" thickBot="1">
      <c r="B30" s="35"/>
      <c r="C30" s="30"/>
      <c r="D30" s="739"/>
      <c r="E30" s="7"/>
      <c r="F30" s="247"/>
      <c r="G30" s="30"/>
      <c r="H30" s="5"/>
      <c r="I30" s="737"/>
      <c r="J30" s="5"/>
      <c r="K30" s="742"/>
      <c r="L30" s="742"/>
      <c r="M30" s="742"/>
      <c r="O30" s="597"/>
      <c r="P30" s="597"/>
      <c r="Q30" s="597"/>
      <c r="R30" s="597"/>
      <c r="S30" s="597"/>
      <c r="T30" s="597"/>
      <c r="U30" s="597"/>
      <c r="V30" s="597"/>
      <c r="W30" s="597"/>
    </row>
    <row r="31" spans="1:23" ht="16.5" thickBot="1">
      <c r="B31" s="1070">
        <f>+B29+1</f>
        <v>12</v>
      </c>
      <c r="C31" s="748"/>
      <c r="D31" s="1069" t="s">
        <v>604</v>
      </c>
      <c r="E31" s="749"/>
      <c r="F31" s="750"/>
      <c r="G31" s="1068" t="str">
        <f>"(Line "&amp;B27&amp;" + Line "&amp;B29&amp;")"</f>
        <v>(Line 10 + Line 11)</v>
      </c>
      <c r="H31" s="751"/>
      <c r="I31" s="752">
        <f>(I27+I29)</f>
        <v>176387345.77164599</v>
      </c>
      <c r="J31" s="751"/>
      <c r="K31" s="752">
        <f>(K27+K29)</f>
        <v>83688579.114037231</v>
      </c>
      <c r="L31" s="753"/>
      <c r="M31" s="752">
        <f>(M27+M29)</f>
        <v>92698766.657608762</v>
      </c>
      <c r="O31" s="597"/>
      <c r="P31" s="597"/>
      <c r="Q31" s="597"/>
      <c r="R31" s="597"/>
      <c r="S31" s="597"/>
      <c r="T31" s="597"/>
      <c r="U31" s="597"/>
      <c r="V31" s="597"/>
      <c r="W31" s="597"/>
    </row>
    <row r="32" spans="1:23">
      <c r="B32" s="35"/>
      <c r="C32" s="30"/>
      <c r="D32" s="739"/>
      <c r="E32" s="7"/>
      <c r="G32" s="247"/>
      <c r="H32" s="5"/>
      <c r="I32" s="737"/>
      <c r="J32" s="5"/>
      <c r="K32" s="742"/>
      <c r="L32" s="742"/>
      <c r="M32" s="742"/>
      <c r="O32" s="597"/>
      <c r="P32" s="597"/>
      <c r="Q32" s="597"/>
      <c r="R32" s="597"/>
      <c r="S32" s="597"/>
      <c r="T32" s="597"/>
      <c r="U32" s="597"/>
      <c r="V32" s="597"/>
      <c r="W32" s="597"/>
    </row>
    <row r="33" spans="2:23">
      <c r="B33" s="35" t="s">
        <v>1621</v>
      </c>
      <c r="C33" s="30"/>
      <c r="D33" s="739" t="s">
        <v>1620</v>
      </c>
      <c r="E33" s="7"/>
      <c r="G33" s="247" t="s">
        <v>1624</v>
      </c>
      <c r="H33" s="5"/>
      <c r="I33" s="737">
        <v>2846910</v>
      </c>
      <c r="J33" s="5"/>
      <c r="K33" s="742">
        <f>+I33*K20</f>
        <v>985915.51711341809</v>
      </c>
      <c r="L33" s="742"/>
      <c r="M33" s="742">
        <f>+I33*M20</f>
        <v>1860994.4828865821</v>
      </c>
      <c r="O33" s="597"/>
      <c r="P33" s="597"/>
      <c r="Q33" s="597"/>
      <c r="R33" s="597"/>
      <c r="S33" s="597"/>
      <c r="T33" s="597"/>
      <c r="U33" s="597"/>
      <c r="V33" s="597"/>
      <c r="W33" s="597"/>
    </row>
    <row r="34" spans="2:23">
      <c r="B34" s="35"/>
      <c r="C34" s="30"/>
      <c r="D34" s="739"/>
      <c r="E34" s="7"/>
      <c r="G34" s="247"/>
      <c r="H34" s="5"/>
      <c r="I34" s="737"/>
      <c r="J34" s="5"/>
      <c r="K34" s="742"/>
      <c r="L34" s="742"/>
      <c r="M34" s="742"/>
      <c r="O34" s="597"/>
      <c r="P34" s="597"/>
      <c r="Q34" s="597"/>
      <c r="R34" s="597"/>
      <c r="S34" s="597"/>
      <c r="T34" s="597"/>
      <c r="U34" s="597"/>
      <c r="V34" s="597"/>
      <c r="W34" s="597"/>
    </row>
    <row r="35" spans="2:23" ht="15.75">
      <c r="B35" s="35" t="s">
        <v>1622</v>
      </c>
      <c r="C35" s="30"/>
      <c r="D35" s="756" t="s">
        <v>1623</v>
      </c>
      <c r="E35" s="7"/>
      <c r="G35" s="1073" t="str">
        <f>"(Line "&amp;B31&amp;" + Line "&amp;B33&amp;")"</f>
        <v>(Line 12 + Line 12A)</v>
      </c>
      <c r="H35" s="5"/>
      <c r="I35" s="1510">
        <f>+I31+I33</f>
        <v>179234255.77164599</v>
      </c>
      <c r="J35" s="5"/>
      <c r="K35" s="1510">
        <f>+K31+K33</f>
        <v>84674494.631150648</v>
      </c>
      <c r="L35" s="742"/>
      <c r="M35" s="1510">
        <f>+M31+M33</f>
        <v>94559761.140495345</v>
      </c>
      <c r="O35" s="597"/>
      <c r="P35" s="597"/>
      <c r="Q35" s="597"/>
      <c r="R35" s="597"/>
      <c r="S35" s="597"/>
      <c r="T35" s="597"/>
      <c r="U35" s="597"/>
      <c r="V35" s="597"/>
      <c r="W35" s="597"/>
    </row>
    <row r="36" spans="2:23">
      <c r="B36" s="35"/>
      <c r="C36" s="30"/>
      <c r="D36" s="739"/>
      <c r="E36" s="7"/>
      <c r="G36" s="247"/>
      <c r="H36" s="5"/>
      <c r="I36" s="737"/>
      <c r="J36" s="5"/>
      <c r="K36" s="742"/>
      <c r="L36" s="742"/>
      <c r="M36" s="742"/>
      <c r="O36" s="597"/>
      <c r="P36" s="597"/>
      <c r="Q36" s="597"/>
      <c r="R36" s="597"/>
      <c r="S36" s="597"/>
      <c r="T36" s="597"/>
      <c r="U36" s="597"/>
      <c r="V36" s="597"/>
      <c r="W36" s="597"/>
    </row>
    <row r="37" spans="2:23" ht="15.75">
      <c r="B37" s="35">
        <f>+B31+1</f>
        <v>13</v>
      </c>
      <c r="C37" s="25"/>
      <c r="D37" s="739" t="s">
        <v>605</v>
      </c>
      <c r="E37" s="1071"/>
      <c r="F37" s="1072"/>
      <c r="G37" s="32" t="str">
        <f>"(Load WS, ln "&amp;'Load WS'!A49&amp;")"</f>
        <v>(Load WS, ln 33)</v>
      </c>
      <c r="H37" s="755"/>
      <c r="I37" s="737">
        <f>+M37</f>
        <v>8394</v>
      </c>
      <c r="J37" s="5"/>
      <c r="K37" s="737">
        <f>I37</f>
        <v>8394</v>
      </c>
      <c r="L37" s="742"/>
      <c r="M37" s="742">
        <f>+'Load WS'!S49</f>
        <v>8394</v>
      </c>
      <c r="O37" s="597"/>
      <c r="P37" s="597"/>
      <c r="Q37" s="597"/>
      <c r="R37" s="597"/>
      <c r="S37" s="597"/>
      <c r="T37" s="597"/>
      <c r="U37" s="597"/>
      <c r="V37" s="597"/>
      <c r="W37" s="597"/>
    </row>
    <row r="38" spans="2:23" ht="15.75">
      <c r="B38" s="254"/>
      <c r="C38" s="25"/>
      <c r="D38" s="756"/>
      <c r="E38" s="1071"/>
      <c r="F38" s="1072"/>
      <c r="G38" s="1073"/>
      <c r="H38" s="755"/>
      <c r="I38" s="757"/>
      <c r="J38" s="755"/>
      <c r="K38" s="758"/>
      <c r="L38" s="742"/>
      <c r="M38" s="742"/>
      <c r="O38" s="597"/>
      <c r="P38" s="597"/>
      <c r="Q38" s="597"/>
      <c r="R38" s="597"/>
      <c r="S38" s="597"/>
      <c r="T38" s="597"/>
      <c r="U38" s="597"/>
      <c r="V38" s="597"/>
      <c r="W38" s="597"/>
    </row>
    <row r="39" spans="2:23" ht="15.75">
      <c r="B39" s="254">
        <f>B37+1</f>
        <v>14</v>
      </c>
      <c r="C39" s="25"/>
      <c r="D39" s="759" t="str">
        <f>"Monthly NITS Rate in $/MW - Month"</f>
        <v>Monthly NITS Rate in $/MW - Month</v>
      </c>
      <c r="E39" s="1071"/>
      <c r="F39" s="1072"/>
      <c r="G39" s="1067" t="str">
        <f>"(Line "&amp;B31&amp;" / Line "&amp;B37&amp;") /12 "</f>
        <v xml:space="preserve">(Line 12 / Line 13) /12 </v>
      </c>
      <c r="H39" s="755"/>
      <c r="I39" s="760">
        <f>ROUND((I35/I37)/12,2)</f>
        <v>1779.39</v>
      </c>
      <c r="J39" s="755"/>
      <c r="K39" s="760">
        <f>ROUND((K35/K37)/12,2)</f>
        <v>840.63</v>
      </c>
      <c r="L39" s="742"/>
      <c r="M39" s="760">
        <f>ROUND((M35/M37)/12,2)</f>
        <v>938.76</v>
      </c>
      <c r="O39" s="597"/>
      <c r="P39" s="597"/>
      <c r="Q39" s="597"/>
      <c r="R39" s="597"/>
      <c r="S39" s="597"/>
      <c r="T39" s="597"/>
      <c r="U39" s="597"/>
      <c r="V39" s="597"/>
      <c r="W39" s="597"/>
    </row>
    <row r="40" spans="2:23">
      <c r="B40" s="35"/>
      <c r="C40" s="30"/>
      <c r="D40" s="739"/>
      <c r="E40" s="7"/>
      <c r="G40" s="247"/>
      <c r="H40" s="5"/>
      <c r="I40" s="1513"/>
      <c r="J40" s="1512"/>
      <c r="K40" s="1511"/>
      <c r="L40" s="1511"/>
      <c r="M40" s="1511"/>
      <c r="O40" s="597"/>
      <c r="P40" s="597"/>
      <c r="Q40" s="597"/>
      <c r="R40" s="597"/>
      <c r="S40" s="597"/>
      <c r="T40" s="597"/>
      <c r="U40" s="597"/>
      <c r="V40" s="597"/>
      <c r="W40" s="597"/>
    </row>
    <row r="41" spans="2:23">
      <c r="B41" s="35"/>
      <c r="C41" s="30"/>
      <c r="D41" s="739"/>
      <c r="E41" s="7"/>
      <c r="F41" s="247"/>
      <c r="G41" s="5"/>
      <c r="H41" s="5"/>
      <c r="I41" s="737"/>
      <c r="J41" s="5"/>
      <c r="K41" s="742"/>
      <c r="L41" s="742"/>
      <c r="M41" s="742"/>
      <c r="O41" s="597"/>
      <c r="P41" s="597"/>
      <c r="Q41" s="597"/>
      <c r="R41" s="597"/>
      <c r="S41" s="597"/>
      <c r="T41" s="597"/>
      <c r="U41" s="597"/>
      <c r="V41" s="597"/>
      <c r="W41" s="597"/>
    </row>
    <row r="42" spans="2:23">
      <c r="B42" s="1"/>
      <c r="C42" s="33"/>
      <c r="D42" s="33"/>
      <c r="E42" s="33"/>
      <c r="F42" s="33"/>
      <c r="G42" s="33"/>
      <c r="H42" s="33"/>
      <c r="I42" s="33"/>
      <c r="J42" s="33"/>
      <c r="K42" s="33"/>
      <c r="L42" s="33"/>
      <c r="M42" s="731"/>
      <c r="N42" s="33"/>
      <c r="O42" s="597"/>
      <c r="P42" s="597"/>
      <c r="Q42" s="597"/>
      <c r="R42" s="597"/>
      <c r="S42" s="597"/>
      <c r="T42" s="597"/>
      <c r="U42" s="597"/>
      <c r="V42" s="597"/>
      <c r="W42" s="597"/>
    </row>
    <row r="43" spans="2:23">
      <c r="B43" s="1"/>
      <c r="C43" s="33"/>
      <c r="D43" s="33"/>
      <c r="E43" s="33"/>
      <c r="F43" s="33"/>
      <c r="G43" s="33"/>
      <c r="H43" s="33"/>
      <c r="I43" s="33"/>
      <c r="J43" s="33"/>
      <c r="K43" s="33"/>
      <c r="L43" s="33"/>
      <c r="M43" s="731"/>
      <c r="N43" s="33"/>
      <c r="O43" s="597"/>
      <c r="P43" s="597"/>
      <c r="Q43" s="597"/>
      <c r="R43" s="597"/>
      <c r="S43" s="597"/>
      <c r="T43" s="597"/>
      <c r="U43" s="597"/>
      <c r="V43" s="597"/>
      <c r="W43" s="597"/>
    </row>
    <row r="44" spans="2:23">
      <c r="B44" s="1"/>
      <c r="C44" s="33"/>
      <c r="D44" s="33"/>
      <c r="E44" s="33"/>
      <c r="F44" s="33"/>
      <c r="G44" s="33"/>
      <c r="H44" s="33"/>
      <c r="I44" s="761"/>
      <c r="J44" s="33"/>
      <c r="K44" s="33"/>
      <c r="L44" s="33"/>
      <c r="M44" s="731"/>
      <c r="N44" s="33"/>
      <c r="O44" s="33"/>
      <c r="P44" s="33"/>
      <c r="Q44" s="33"/>
      <c r="R44" s="33"/>
      <c r="S44" s="33"/>
      <c r="T44" s="33"/>
      <c r="U44" s="33"/>
      <c r="V44" s="33"/>
      <c r="W44" s="33"/>
    </row>
    <row r="45" spans="2:23">
      <c r="B45" s="1"/>
      <c r="C45" s="33"/>
      <c r="D45" s="33"/>
      <c r="E45" s="33"/>
      <c r="F45" s="33"/>
      <c r="G45" s="33"/>
      <c r="H45" s="33"/>
      <c r="I45" s="33"/>
      <c r="J45" s="33"/>
      <c r="K45" s="33"/>
      <c r="L45" s="33"/>
      <c r="M45" s="731"/>
      <c r="N45" s="33"/>
      <c r="O45" s="33"/>
      <c r="P45" s="33"/>
      <c r="Q45" s="33"/>
      <c r="R45" s="33"/>
      <c r="S45" s="33"/>
      <c r="T45" s="33"/>
      <c r="U45" s="33"/>
      <c r="V45" s="33"/>
      <c r="W45" s="33"/>
    </row>
    <row r="46" spans="2:23">
      <c r="B46" s="1"/>
      <c r="C46" s="33"/>
      <c r="D46" s="33"/>
      <c r="E46" s="33"/>
      <c r="F46" s="33"/>
      <c r="G46" s="33"/>
      <c r="H46" s="33"/>
      <c r="I46" s="33"/>
      <c r="J46" s="33"/>
      <c r="K46" s="33"/>
      <c r="L46" s="33"/>
      <c r="M46" s="33"/>
      <c r="N46" s="33"/>
      <c r="O46" s="33"/>
      <c r="P46" s="33"/>
      <c r="Q46" s="33"/>
      <c r="R46" s="33"/>
      <c r="S46" s="33"/>
      <c r="T46" s="33"/>
      <c r="U46" s="33"/>
      <c r="V46" s="33"/>
      <c r="W46" s="33"/>
    </row>
    <row r="47" spans="2:23">
      <c r="B47" s="1"/>
      <c r="C47" s="33"/>
      <c r="D47" s="33"/>
      <c r="E47" s="33"/>
      <c r="F47" s="33"/>
      <c r="G47" s="33"/>
      <c r="H47" s="33"/>
      <c r="I47" s="761"/>
      <c r="J47" s="33"/>
      <c r="K47" s="33"/>
      <c r="L47" s="33"/>
      <c r="M47" s="33"/>
      <c r="N47" s="33"/>
      <c r="O47" s="33"/>
      <c r="P47" s="33"/>
      <c r="Q47" s="33"/>
      <c r="R47" s="33"/>
      <c r="S47" s="33"/>
      <c r="T47" s="33"/>
      <c r="U47" s="33"/>
      <c r="V47" s="33"/>
      <c r="W47" s="33"/>
    </row>
    <row r="48" spans="2:23">
      <c r="B48" s="1"/>
      <c r="C48" s="33"/>
      <c r="D48" s="33"/>
      <c r="E48" s="33"/>
      <c r="F48" s="33"/>
      <c r="G48" s="762"/>
      <c r="H48" s="33"/>
      <c r="I48" s="761"/>
      <c r="J48" s="33"/>
      <c r="K48" s="33"/>
      <c r="L48" s="33"/>
      <c r="M48" s="33"/>
      <c r="N48" s="33"/>
      <c r="O48" s="33"/>
      <c r="P48" s="33"/>
      <c r="Q48" s="33"/>
      <c r="R48" s="33"/>
      <c r="S48" s="33"/>
      <c r="T48" s="33"/>
      <c r="U48" s="33"/>
      <c r="V48" s="33"/>
      <c r="W48" s="33"/>
    </row>
    <row r="49" spans="2:23">
      <c r="B49" s="1"/>
      <c r="C49" s="33"/>
      <c r="D49" s="33"/>
      <c r="E49" s="33"/>
      <c r="F49" s="33"/>
      <c r="G49" s="762"/>
      <c r="H49" s="33"/>
      <c r="I49" s="761"/>
      <c r="J49" s="33"/>
      <c r="K49" s="33"/>
      <c r="L49" s="33"/>
      <c r="M49" s="33"/>
      <c r="N49" s="33"/>
      <c r="O49" s="33"/>
      <c r="P49" s="33"/>
      <c r="Q49" s="33"/>
      <c r="R49" s="33"/>
      <c r="S49" s="33"/>
      <c r="T49" s="33"/>
      <c r="U49" s="33"/>
      <c r="V49" s="33"/>
      <c r="W49" s="33"/>
    </row>
    <row r="50" spans="2:23">
      <c r="B50" s="1"/>
      <c r="C50" s="33"/>
      <c r="D50" s="33"/>
      <c r="E50" s="33"/>
      <c r="F50" s="763"/>
      <c r="G50" s="762"/>
      <c r="H50" s="33"/>
      <c r="I50" s="761"/>
      <c r="J50" s="33"/>
      <c r="K50" s="33"/>
      <c r="L50" s="33"/>
      <c r="M50" s="33"/>
      <c r="N50" s="33"/>
      <c r="O50" s="33"/>
      <c r="P50" s="33"/>
      <c r="Q50" s="33"/>
      <c r="R50" s="33"/>
      <c r="S50" s="33"/>
      <c r="T50" s="33"/>
      <c r="U50" s="33"/>
      <c r="V50" s="33"/>
      <c r="W50" s="33"/>
    </row>
    <row r="51" spans="2:23">
      <c r="B51" s="1"/>
      <c r="C51" s="33"/>
      <c r="D51" s="33"/>
      <c r="E51" s="33"/>
      <c r="F51" s="33"/>
      <c r="G51" s="33"/>
      <c r="H51" s="33"/>
      <c r="I51" s="761"/>
      <c r="J51" s="33"/>
      <c r="K51" s="33"/>
      <c r="L51" s="33"/>
      <c r="M51" s="33"/>
      <c r="N51" s="33"/>
      <c r="O51" s="33"/>
      <c r="P51" s="33"/>
      <c r="Q51" s="33"/>
      <c r="R51" s="33"/>
      <c r="S51" s="33"/>
      <c r="T51" s="33"/>
      <c r="U51" s="33"/>
      <c r="V51" s="33"/>
      <c r="W51" s="33"/>
    </row>
    <row r="52" spans="2:23">
      <c r="B52" s="1"/>
      <c r="C52" s="33"/>
      <c r="D52" s="33"/>
      <c r="E52" s="33"/>
      <c r="F52" s="33"/>
      <c r="G52" s="33"/>
      <c r="H52" s="33"/>
      <c r="I52" s="761"/>
      <c r="J52" s="33"/>
      <c r="K52" s="33"/>
      <c r="L52" s="33"/>
      <c r="M52" s="33"/>
      <c r="N52" s="33"/>
      <c r="O52" s="33"/>
      <c r="P52" s="33"/>
      <c r="Q52" s="33"/>
      <c r="R52" s="33"/>
      <c r="S52" s="33"/>
      <c r="T52" s="33"/>
      <c r="U52" s="33"/>
      <c r="V52" s="33"/>
      <c r="W52" s="33"/>
    </row>
    <row r="53" spans="2:23">
      <c r="B53" s="1"/>
      <c r="C53" s="33"/>
      <c r="D53" s="33"/>
      <c r="E53" s="33"/>
      <c r="F53" s="33"/>
      <c r="G53" s="33"/>
      <c r="H53" s="33"/>
      <c r="I53" s="761"/>
      <c r="J53" s="33"/>
      <c r="K53" s="33"/>
      <c r="L53" s="33"/>
      <c r="M53" s="33"/>
      <c r="N53" s="33"/>
      <c r="O53" s="33"/>
      <c r="P53" s="33"/>
      <c r="Q53" s="33"/>
      <c r="R53" s="33"/>
      <c r="S53" s="33"/>
      <c r="T53" s="33"/>
      <c r="U53" s="33"/>
      <c r="V53" s="33"/>
      <c r="W53" s="33"/>
    </row>
    <row r="54" spans="2:23">
      <c r="B54" s="1"/>
      <c r="C54" s="33"/>
      <c r="D54" s="33"/>
      <c r="E54" s="33"/>
      <c r="F54" s="33"/>
      <c r="G54" s="33"/>
      <c r="H54" s="33"/>
      <c r="I54" s="33"/>
      <c r="J54" s="33"/>
      <c r="K54" s="33"/>
      <c r="L54" s="33"/>
      <c r="M54" s="33"/>
      <c r="N54" s="33"/>
      <c r="O54" s="33"/>
      <c r="P54" s="33"/>
      <c r="Q54" s="33"/>
      <c r="R54" s="33"/>
      <c r="S54" s="33"/>
      <c r="T54" s="33"/>
      <c r="U54" s="33"/>
      <c r="V54" s="33"/>
      <c r="W54" s="33"/>
    </row>
    <row r="55" spans="2:23">
      <c r="B55" s="1"/>
      <c r="C55" s="33"/>
      <c r="D55" s="33"/>
      <c r="E55" s="33"/>
      <c r="F55" s="33"/>
      <c r="G55" s="33"/>
      <c r="H55" s="33"/>
      <c r="I55" s="33"/>
      <c r="J55" s="33"/>
      <c r="K55" s="33"/>
      <c r="L55" s="33"/>
      <c r="M55" s="33"/>
      <c r="N55" s="33"/>
      <c r="O55" s="33"/>
      <c r="P55" s="33"/>
      <c r="Q55" s="33"/>
      <c r="R55" s="33"/>
      <c r="S55" s="33"/>
      <c r="T55" s="33"/>
      <c r="U55" s="33"/>
      <c r="V55" s="33"/>
      <c r="W55" s="33"/>
    </row>
    <row r="56" spans="2:23">
      <c r="B56" s="1"/>
      <c r="C56" s="33"/>
      <c r="D56" s="33"/>
      <c r="E56" s="33"/>
      <c r="F56" s="33"/>
      <c r="G56" s="33"/>
      <c r="H56" s="33"/>
      <c r="I56" s="33"/>
      <c r="J56" s="33"/>
      <c r="K56" s="33"/>
      <c r="L56" s="33"/>
      <c r="M56" s="33"/>
      <c r="N56" s="33"/>
      <c r="O56" s="33"/>
      <c r="P56" s="33"/>
      <c r="Q56" s="33"/>
      <c r="R56" s="33"/>
      <c r="S56" s="33"/>
      <c r="T56" s="33"/>
      <c r="U56" s="33"/>
      <c r="V56" s="33"/>
      <c r="W56" s="33"/>
    </row>
    <row r="57" spans="2:23">
      <c r="B57" s="1"/>
      <c r="C57" s="33"/>
      <c r="D57" s="33"/>
      <c r="E57" s="33"/>
      <c r="F57" s="33"/>
      <c r="G57" s="33"/>
      <c r="H57" s="33"/>
      <c r="I57" s="33"/>
      <c r="J57" s="33"/>
      <c r="K57" s="33"/>
      <c r="L57" s="33"/>
      <c r="M57" s="33"/>
      <c r="N57" s="33"/>
      <c r="O57" s="33"/>
      <c r="P57" s="33"/>
      <c r="Q57" s="33"/>
      <c r="R57" s="33"/>
      <c r="S57" s="33"/>
      <c r="T57" s="33"/>
      <c r="U57" s="33"/>
      <c r="V57" s="33"/>
      <c r="W57" s="33"/>
    </row>
    <row r="58" spans="2:23">
      <c r="B58" s="1"/>
      <c r="C58" s="33"/>
      <c r="D58" s="33"/>
      <c r="E58" s="33"/>
      <c r="F58" s="33"/>
      <c r="G58" s="33"/>
      <c r="H58" s="33"/>
      <c r="I58" s="33"/>
      <c r="J58" s="33"/>
      <c r="K58" s="33"/>
      <c r="L58" s="33"/>
      <c r="M58" s="33"/>
      <c r="N58" s="33"/>
      <c r="O58" s="33"/>
      <c r="P58" s="33"/>
      <c r="Q58" s="33"/>
      <c r="R58" s="33"/>
      <c r="S58" s="33"/>
      <c r="T58" s="33"/>
      <c r="U58" s="33"/>
      <c r="V58" s="33"/>
      <c r="W58" s="33"/>
    </row>
    <row r="59" spans="2:23">
      <c r="B59" s="1"/>
      <c r="C59" s="33"/>
      <c r="D59" s="33"/>
      <c r="E59" s="33"/>
      <c r="F59" s="33"/>
      <c r="G59" s="33"/>
      <c r="H59" s="33"/>
      <c r="I59" s="33"/>
      <c r="J59" s="33"/>
      <c r="K59" s="33"/>
      <c r="L59" s="33"/>
      <c r="M59" s="33"/>
      <c r="N59" s="33"/>
      <c r="O59" s="33"/>
      <c r="P59" s="33"/>
      <c r="Q59" s="33"/>
      <c r="R59" s="33"/>
      <c r="S59" s="33"/>
      <c r="T59" s="33"/>
      <c r="U59" s="33"/>
      <c r="V59" s="33"/>
      <c r="W59" s="33"/>
    </row>
    <row r="60" spans="2:23">
      <c r="B60" s="1"/>
      <c r="C60" s="33"/>
      <c r="D60" s="33"/>
      <c r="E60" s="33"/>
      <c r="F60" s="33"/>
      <c r="G60" s="33"/>
      <c r="H60" s="33"/>
      <c r="I60" s="33"/>
      <c r="J60" s="33"/>
      <c r="K60" s="33"/>
      <c r="L60" s="33"/>
      <c r="M60" s="33"/>
      <c r="N60" s="33"/>
      <c r="O60" s="33"/>
      <c r="P60" s="33"/>
      <c r="Q60" s="33"/>
      <c r="R60" s="33"/>
      <c r="S60" s="33"/>
      <c r="T60" s="33"/>
      <c r="U60" s="33"/>
      <c r="V60" s="33"/>
      <c r="W60" s="33"/>
    </row>
    <row r="61" spans="2:23">
      <c r="B61" s="1"/>
      <c r="C61" s="33"/>
      <c r="D61" s="33"/>
      <c r="E61" s="33"/>
      <c r="F61" s="33"/>
      <c r="G61" s="33"/>
      <c r="H61" s="33"/>
      <c r="I61" s="33"/>
      <c r="J61" s="33"/>
      <c r="K61" s="33"/>
      <c r="L61" s="33"/>
      <c r="M61" s="33"/>
      <c r="N61" s="33"/>
      <c r="O61" s="33"/>
      <c r="P61" s="33"/>
      <c r="Q61" s="33"/>
      <c r="R61" s="33"/>
      <c r="S61" s="33"/>
      <c r="T61" s="33"/>
      <c r="U61" s="33"/>
      <c r="V61" s="33"/>
      <c r="W61" s="33"/>
    </row>
    <row r="62" spans="2:23">
      <c r="B62" s="1"/>
      <c r="C62" s="33"/>
      <c r="D62" s="33"/>
      <c r="E62" s="33"/>
      <c r="F62" s="33"/>
      <c r="G62" s="33"/>
      <c r="H62" s="33"/>
      <c r="I62" s="33"/>
      <c r="J62" s="33"/>
      <c r="K62" s="33"/>
      <c r="L62" s="33"/>
      <c r="M62" s="33"/>
      <c r="N62" s="33"/>
      <c r="O62" s="33"/>
      <c r="P62" s="33"/>
      <c r="Q62" s="33"/>
      <c r="R62" s="33"/>
      <c r="S62" s="33"/>
      <c r="T62" s="33"/>
      <c r="U62" s="33"/>
      <c r="V62" s="33"/>
      <c r="W62" s="33"/>
    </row>
    <row r="63" spans="2:23">
      <c r="B63" s="1"/>
      <c r="C63" s="33"/>
      <c r="D63" s="33"/>
      <c r="E63" s="33"/>
      <c r="F63" s="33"/>
      <c r="G63" s="33"/>
      <c r="H63" s="33"/>
      <c r="I63" s="33"/>
      <c r="J63" s="33"/>
      <c r="K63" s="33"/>
      <c r="L63" s="33"/>
      <c r="M63" s="33"/>
      <c r="N63" s="33"/>
      <c r="O63" s="33"/>
      <c r="P63" s="33"/>
      <c r="Q63" s="33"/>
      <c r="R63" s="33"/>
      <c r="S63" s="33"/>
      <c r="T63" s="33"/>
      <c r="U63" s="33"/>
      <c r="V63" s="33"/>
      <c r="W63" s="33"/>
    </row>
    <row r="64" spans="2:23">
      <c r="B64" s="1"/>
      <c r="C64" s="33"/>
      <c r="D64" s="33"/>
      <c r="E64" s="33"/>
      <c r="F64" s="33"/>
      <c r="G64" s="33"/>
      <c r="H64" s="33"/>
      <c r="I64" s="33"/>
      <c r="J64" s="33"/>
      <c r="K64" s="33"/>
      <c r="L64" s="33"/>
      <c r="M64" s="33"/>
      <c r="N64" s="33"/>
      <c r="O64" s="33"/>
      <c r="P64" s="33"/>
      <c r="Q64" s="33"/>
      <c r="R64" s="33"/>
      <c r="S64" s="33"/>
      <c r="T64" s="33"/>
      <c r="U64" s="33"/>
      <c r="V64" s="33"/>
      <c r="W64" s="33"/>
    </row>
    <row r="65" spans="2:23">
      <c r="B65" s="1"/>
      <c r="C65" s="33"/>
      <c r="D65" s="33"/>
      <c r="E65" s="33"/>
      <c r="F65" s="33"/>
      <c r="G65" s="33"/>
      <c r="H65" s="33"/>
      <c r="I65" s="33"/>
      <c r="J65" s="33"/>
      <c r="K65" s="33"/>
      <c r="L65" s="33"/>
      <c r="M65" s="33"/>
      <c r="N65" s="33"/>
      <c r="O65" s="33"/>
      <c r="P65" s="33"/>
      <c r="Q65" s="33"/>
      <c r="R65" s="33"/>
      <c r="S65" s="33"/>
      <c r="T65" s="33"/>
      <c r="U65" s="33"/>
      <c r="V65" s="33"/>
      <c r="W65" s="33"/>
    </row>
    <row r="66" spans="2:23">
      <c r="B66" s="1"/>
      <c r="C66" s="33"/>
      <c r="D66" s="33"/>
      <c r="E66" s="33"/>
      <c r="F66" s="33"/>
      <c r="G66" s="33"/>
      <c r="H66" s="33"/>
      <c r="I66" s="33"/>
      <c r="J66" s="33"/>
      <c r="K66" s="33"/>
      <c r="L66" s="33"/>
      <c r="M66" s="33"/>
      <c r="N66" s="33"/>
      <c r="O66" s="33"/>
      <c r="P66" s="33"/>
      <c r="Q66" s="33"/>
      <c r="R66" s="33"/>
      <c r="S66" s="33"/>
      <c r="T66" s="33"/>
      <c r="U66" s="33"/>
      <c r="V66" s="33"/>
      <c r="W66" s="33"/>
    </row>
    <row r="67" spans="2:23">
      <c r="B67" s="1"/>
      <c r="C67" s="33"/>
      <c r="D67" s="33"/>
      <c r="E67" s="33"/>
      <c r="F67" s="33"/>
      <c r="G67" s="33"/>
      <c r="H67" s="33"/>
      <c r="I67" s="33"/>
      <c r="J67" s="33"/>
      <c r="K67" s="33"/>
      <c r="L67" s="33"/>
      <c r="M67" s="33"/>
      <c r="N67" s="33"/>
      <c r="O67" s="33"/>
      <c r="P67" s="33"/>
      <c r="Q67" s="33"/>
      <c r="R67" s="33"/>
      <c r="S67" s="33"/>
      <c r="T67" s="33"/>
      <c r="U67" s="33"/>
      <c r="V67" s="33"/>
      <c r="W67" s="33"/>
    </row>
    <row r="68" spans="2:23">
      <c r="B68" s="1"/>
      <c r="C68" s="33"/>
      <c r="D68" s="33"/>
      <c r="E68" s="33"/>
      <c r="F68" s="33"/>
      <c r="G68" s="33"/>
      <c r="H68" s="33"/>
      <c r="I68" s="33"/>
      <c r="J68" s="33"/>
      <c r="K68" s="33"/>
      <c r="L68" s="33"/>
      <c r="M68" s="33"/>
      <c r="N68" s="33"/>
      <c r="O68" s="33"/>
      <c r="P68" s="33"/>
      <c r="Q68" s="33"/>
      <c r="R68" s="33"/>
      <c r="S68" s="33"/>
      <c r="T68" s="33"/>
      <c r="U68" s="33"/>
      <c r="V68" s="33"/>
      <c r="W68" s="33"/>
    </row>
    <row r="69" spans="2:23">
      <c r="B69" s="1"/>
      <c r="C69" s="33"/>
      <c r="D69" s="33"/>
      <c r="E69" s="33"/>
      <c r="F69" s="33"/>
      <c r="G69" s="33"/>
      <c r="H69" s="33"/>
      <c r="I69" s="33"/>
      <c r="J69" s="33"/>
      <c r="K69" s="33"/>
      <c r="L69" s="33"/>
      <c r="M69" s="33"/>
      <c r="N69" s="33"/>
      <c r="O69" s="33"/>
      <c r="P69" s="33"/>
      <c r="Q69" s="33"/>
      <c r="R69" s="33"/>
      <c r="S69" s="33"/>
      <c r="T69" s="33"/>
      <c r="U69" s="33"/>
      <c r="V69" s="33"/>
      <c r="W69" s="33"/>
    </row>
    <row r="70" spans="2:23">
      <c r="B70" s="1"/>
      <c r="C70" s="33"/>
      <c r="D70" s="33"/>
      <c r="E70" s="33"/>
      <c r="F70" s="33"/>
      <c r="G70" s="33"/>
      <c r="H70" s="33"/>
      <c r="I70" s="33"/>
      <c r="J70" s="33"/>
      <c r="K70" s="33"/>
      <c r="L70" s="33"/>
      <c r="M70" s="33"/>
      <c r="N70" s="33"/>
      <c r="O70" s="33"/>
      <c r="P70" s="33"/>
      <c r="Q70" s="33"/>
      <c r="R70" s="33"/>
      <c r="S70" s="33"/>
      <c r="T70" s="33"/>
      <c r="U70" s="33"/>
      <c r="V70" s="33"/>
      <c r="W70" s="33"/>
    </row>
    <row r="71" spans="2:23">
      <c r="B71" s="1"/>
      <c r="C71" s="33"/>
      <c r="D71" s="33"/>
      <c r="E71" s="33"/>
      <c r="F71" s="33"/>
      <c r="G71" s="33"/>
      <c r="H71" s="33"/>
      <c r="I71" s="33"/>
      <c r="J71" s="33"/>
      <c r="K71" s="33"/>
      <c r="L71" s="33"/>
      <c r="M71" s="33"/>
      <c r="N71" s="33"/>
      <c r="O71" s="33"/>
      <c r="P71" s="33"/>
      <c r="Q71" s="33"/>
      <c r="R71" s="33"/>
      <c r="S71" s="33"/>
      <c r="T71" s="33"/>
      <c r="U71" s="33"/>
      <c r="V71" s="33"/>
      <c r="W71" s="33"/>
    </row>
    <row r="72" spans="2:23">
      <c r="B72" s="1"/>
      <c r="C72" s="33"/>
      <c r="D72" s="33"/>
      <c r="E72" s="33"/>
      <c r="F72" s="33"/>
      <c r="G72" s="33"/>
      <c r="H72" s="33"/>
      <c r="I72" s="33"/>
      <c r="J72" s="33"/>
      <c r="K72" s="33"/>
      <c r="L72" s="33"/>
      <c r="M72" s="33"/>
      <c r="N72" s="33"/>
      <c r="O72" s="33"/>
      <c r="P72" s="33"/>
      <c r="Q72" s="33"/>
      <c r="R72" s="33"/>
      <c r="S72" s="33"/>
      <c r="T72" s="33"/>
      <c r="U72" s="33"/>
      <c r="V72" s="33"/>
      <c r="W72" s="33"/>
    </row>
    <row r="73" spans="2:23">
      <c r="B73" s="1"/>
      <c r="C73" s="33"/>
      <c r="D73" s="33"/>
      <c r="E73" s="33"/>
      <c r="F73" s="33"/>
      <c r="G73" s="33"/>
      <c r="H73" s="33"/>
      <c r="I73" s="33"/>
      <c r="J73" s="33"/>
      <c r="K73" s="33"/>
      <c r="L73" s="33"/>
      <c r="M73" s="33"/>
      <c r="N73" s="33"/>
      <c r="O73" s="33"/>
      <c r="P73" s="33"/>
      <c r="Q73" s="33"/>
      <c r="R73" s="33"/>
      <c r="S73" s="33"/>
      <c r="T73" s="33"/>
      <c r="U73" s="33"/>
      <c r="V73" s="33"/>
      <c r="W73" s="33"/>
    </row>
    <row r="74" spans="2:23">
      <c r="B74" s="1"/>
      <c r="C74" s="33"/>
      <c r="D74" s="33"/>
      <c r="E74" s="33"/>
      <c r="F74" s="33"/>
      <c r="G74" s="33"/>
      <c r="H74" s="33"/>
      <c r="I74" s="33"/>
      <c r="J74" s="33"/>
      <c r="K74" s="33"/>
      <c r="L74" s="33"/>
      <c r="M74" s="33"/>
      <c r="N74" s="33"/>
      <c r="O74" s="33"/>
      <c r="P74" s="33"/>
      <c r="Q74" s="33"/>
      <c r="R74" s="33"/>
      <c r="S74" s="33"/>
      <c r="T74" s="33"/>
      <c r="U74" s="33"/>
      <c r="V74" s="33"/>
      <c r="W74" s="33"/>
    </row>
    <row r="75" spans="2:23">
      <c r="B75" s="1"/>
      <c r="C75" s="33"/>
      <c r="D75" s="33"/>
      <c r="E75" s="33"/>
      <c r="F75" s="33"/>
      <c r="G75" s="33"/>
      <c r="H75" s="33"/>
      <c r="I75" s="33"/>
      <c r="J75" s="33"/>
      <c r="K75" s="33"/>
      <c r="L75" s="33"/>
      <c r="M75" s="33"/>
      <c r="N75" s="33"/>
      <c r="O75" s="33"/>
      <c r="P75" s="33"/>
      <c r="Q75" s="33"/>
      <c r="R75" s="33"/>
      <c r="S75" s="33"/>
      <c r="T75" s="33"/>
      <c r="U75" s="33"/>
      <c r="V75" s="33"/>
      <c r="W75" s="33"/>
    </row>
    <row r="76" spans="2:23">
      <c r="B76" s="1"/>
      <c r="C76" s="33"/>
      <c r="D76" s="33"/>
      <c r="E76" s="33"/>
      <c r="F76" s="33"/>
      <c r="G76" s="33"/>
      <c r="H76" s="33"/>
      <c r="I76" s="33"/>
      <c r="J76" s="33"/>
      <c r="K76" s="33"/>
      <c r="L76" s="33"/>
      <c r="M76" s="33"/>
      <c r="N76" s="33"/>
      <c r="O76" s="33"/>
      <c r="P76" s="33"/>
      <c r="Q76" s="33"/>
      <c r="R76" s="33"/>
      <c r="S76" s="33"/>
      <c r="T76" s="33"/>
      <c r="U76" s="33"/>
      <c r="V76" s="33"/>
      <c r="W76" s="33"/>
    </row>
    <row r="77" spans="2:23">
      <c r="B77" s="1"/>
      <c r="C77" s="33"/>
      <c r="D77" s="33"/>
      <c r="E77" s="33"/>
      <c r="F77" s="33"/>
      <c r="G77" s="33"/>
      <c r="H77" s="33"/>
      <c r="I77" s="33"/>
      <c r="J77" s="33"/>
      <c r="K77" s="33"/>
      <c r="L77" s="33"/>
      <c r="M77" s="33"/>
      <c r="N77" s="33"/>
      <c r="O77" s="33"/>
      <c r="P77" s="33"/>
      <c r="Q77" s="33"/>
      <c r="R77" s="33"/>
      <c r="S77" s="33"/>
      <c r="T77" s="33"/>
      <c r="U77" s="33"/>
      <c r="V77" s="33"/>
      <c r="W77" s="33"/>
    </row>
    <row r="78" spans="2:23">
      <c r="B78" s="1"/>
      <c r="C78" s="33"/>
      <c r="D78" s="33"/>
      <c r="E78" s="33"/>
      <c r="F78" s="33"/>
      <c r="G78" s="33"/>
      <c r="H78" s="33"/>
      <c r="I78" s="33"/>
      <c r="J78" s="33"/>
      <c r="K78" s="33"/>
      <c r="L78" s="33"/>
      <c r="M78" s="33"/>
      <c r="N78" s="33"/>
      <c r="O78" s="33"/>
      <c r="P78" s="33"/>
      <c r="Q78" s="33"/>
      <c r="R78" s="33"/>
      <c r="S78" s="33"/>
      <c r="T78" s="33"/>
      <c r="U78" s="33"/>
      <c r="V78" s="33"/>
      <c r="W78" s="33"/>
    </row>
    <row r="79" spans="2:23">
      <c r="B79" s="1"/>
      <c r="C79" s="33"/>
      <c r="D79" s="33"/>
      <c r="E79" s="33"/>
      <c r="F79" s="33"/>
      <c r="G79" s="33"/>
      <c r="H79" s="33"/>
      <c r="I79" s="33"/>
      <c r="J79" s="33"/>
      <c r="K79" s="33"/>
      <c r="L79" s="33"/>
      <c r="M79" s="33"/>
      <c r="N79" s="33"/>
      <c r="O79" s="33"/>
      <c r="P79" s="33"/>
      <c r="Q79" s="33"/>
      <c r="R79" s="33"/>
      <c r="S79" s="33"/>
      <c r="T79" s="33"/>
      <c r="U79" s="33"/>
      <c r="V79" s="33"/>
      <c r="W79" s="33"/>
    </row>
    <row r="80" spans="2:23">
      <c r="B80" s="1"/>
      <c r="C80" s="33"/>
      <c r="D80" s="33"/>
      <c r="E80" s="33"/>
      <c r="F80" s="33"/>
      <c r="G80" s="33"/>
      <c r="H80" s="33"/>
      <c r="I80" s="33"/>
      <c r="J80" s="33"/>
      <c r="K80" s="33"/>
      <c r="L80" s="33"/>
      <c r="M80" s="33"/>
      <c r="N80" s="33"/>
      <c r="O80" s="33"/>
      <c r="P80" s="33"/>
      <c r="Q80" s="33"/>
      <c r="R80" s="33"/>
      <c r="S80" s="33"/>
      <c r="T80" s="33"/>
      <c r="U80" s="33"/>
      <c r="V80" s="33"/>
      <c r="W80" s="33"/>
    </row>
    <row r="81" spans="2:23">
      <c r="B81" s="1"/>
      <c r="C81" s="33"/>
      <c r="D81" s="33"/>
      <c r="E81" s="33"/>
      <c r="F81" s="33"/>
      <c r="G81" s="33"/>
      <c r="H81" s="33"/>
      <c r="I81" s="33"/>
      <c r="J81" s="33"/>
      <c r="K81" s="33"/>
      <c r="L81" s="33"/>
      <c r="M81" s="33"/>
      <c r="N81" s="33"/>
      <c r="O81" s="33"/>
      <c r="P81" s="33"/>
      <c r="Q81" s="33"/>
      <c r="R81" s="33"/>
      <c r="S81" s="33"/>
      <c r="T81" s="33"/>
      <c r="U81" s="33"/>
      <c r="V81" s="33"/>
      <c r="W81" s="33"/>
    </row>
    <row r="82" spans="2:23">
      <c r="B82" s="1"/>
      <c r="C82" s="33"/>
      <c r="D82" s="33"/>
      <c r="E82" s="33"/>
      <c r="F82" s="33"/>
      <c r="G82" s="33"/>
      <c r="H82" s="33"/>
      <c r="I82" s="33"/>
      <c r="J82" s="33"/>
      <c r="K82" s="33"/>
      <c r="L82" s="33"/>
      <c r="M82" s="33"/>
      <c r="N82" s="33"/>
      <c r="O82" s="33"/>
      <c r="P82" s="33"/>
      <c r="Q82" s="33"/>
      <c r="R82" s="33"/>
      <c r="S82" s="33"/>
      <c r="T82" s="33"/>
      <c r="U82" s="33"/>
      <c r="V82" s="33"/>
      <c r="W82" s="33"/>
    </row>
    <row r="83" spans="2:23">
      <c r="B83" s="1"/>
      <c r="C83" s="33"/>
      <c r="D83" s="33"/>
      <c r="E83" s="33"/>
      <c r="F83" s="33"/>
      <c r="G83" s="33"/>
      <c r="H83" s="33"/>
      <c r="I83" s="33"/>
      <c r="J83" s="33"/>
      <c r="K83" s="33"/>
      <c r="L83" s="33"/>
      <c r="M83" s="33"/>
      <c r="N83" s="33"/>
      <c r="O83" s="33"/>
      <c r="P83" s="33"/>
      <c r="Q83" s="33"/>
      <c r="R83" s="33"/>
      <c r="S83" s="33"/>
      <c r="T83" s="33"/>
      <c r="U83" s="33"/>
      <c r="V83" s="33"/>
      <c r="W83" s="33"/>
    </row>
    <row r="84" spans="2:23">
      <c r="B84" s="1"/>
      <c r="C84" s="33"/>
      <c r="D84" s="33"/>
      <c r="E84" s="33"/>
      <c r="F84" s="33"/>
      <c r="G84" s="33"/>
      <c r="H84" s="33"/>
      <c r="I84" s="33"/>
      <c r="J84" s="33"/>
      <c r="K84" s="33"/>
      <c r="L84" s="33"/>
      <c r="M84" s="33"/>
      <c r="N84" s="33"/>
      <c r="O84" s="33"/>
      <c r="P84" s="33"/>
      <c r="Q84" s="33"/>
      <c r="R84" s="33"/>
      <c r="S84" s="33"/>
      <c r="T84" s="33"/>
      <c r="U84" s="33"/>
      <c r="V84" s="33"/>
      <c r="W84" s="33"/>
    </row>
    <row r="85" spans="2:23">
      <c r="B85" s="1"/>
      <c r="C85" s="33"/>
      <c r="D85" s="33"/>
      <c r="E85" s="33"/>
      <c r="F85" s="33"/>
      <c r="G85" s="33"/>
      <c r="H85" s="33"/>
      <c r="I85" s="33"/>
      <c r="J85" s="33"/>
      <c r="K85" s="33"/>
      <c r="L85" s="33"/>
      <c r="M85" s="33"/>
      <c r="N85" s="33"/>
      <c r="O85" s="33"/>
      <c r="P85" s="33"/>
      <c r="Q85" s="33"/>
      <c r="R85" s="33"/>
      <c r="S85" s="33"/>
      <c r="T85" s="33"/>
      <c r="U85" s="33"/>
      <c r="V85" s="33"/>
      <c r="W85" s="33"/>
    </row>
    <row r="86" spans="2:23">
      <c r="B86" s="1"/>
      <c r="C86" s="33"/>
      <c r="D86" s="33"/>
      <c r="E86" s="33"/>
      <c r="F86" s="33"/>
      <c r="G86" s="33"/>
      <c r="H86" s="33"/>
      <c r="I86" s="33"/>
      <c r="J86" s="33"/>
      <c r="K86" s="33"/>
      <c r="L86" s="33"/>
      <c r="M86" s="33"/>
      <c r="N86" s="33"/>
      <c r="O86" s="33"/>
      <c r="P86" s="33"/>
      <c r="Q86" s="33"/>
      <c r="R86" s="33"/>
      <c r="S86" s="33"/>
      <c r="T86" s="33"/>
      <c r="U86" s="33"/>
      <c r="V86" s="33"/>
      <c r="W86" s="33"/>
    </row>
    <row r="87" spans="2:23">
      <c r="B87" s="1"/>
      <c r="C87" s="33"/>
      <c r="D87" s="33"/>
      <c r="E87" s="33"/>
      <c r="F87" s="33"/>
      <c r="G87" s="33"/>
      <c r="H87" s="33"/>
      <c r="I87" s="33"/>
      <c r="J87" s="33"/>
      <c r="K87" s="33"/>
      <c r="L87" s="33"/>
      <c r="M87" s="33"/>
      <c r="N87" s="33"/>
      <c r="O87" s="33"/>
      <c r="P87" s="33"/>
      <c r="Q87" s="33"/>
      <c r="R87" s="33"/>
      <c r="S87" s="33"/>
      <c r="T87" s="33"/>
      <c r="U87" s="33"/>
      <c r="V87" s="33"/>
      <c r="W87" s="33"/>
    </row>
    <row r="88" spans="2:23">
      <c r="B88" s="1"/>
      <c r="C88" s="33"/>
      <c r="D88" s="33"/>
      <c r="E88" s="33"/>
      <c r="F88" s="33"/>
      <c r="G88" s="33"/>
      <c r="H88" s="33"/>
      <c r="I88" s="33"/>
      <c r="J88" s="33"/>
      <c r="K88" s="33"/>
      <c r="L88" s="33"/>
      <c r="M88" s="33"/>
      <c r="N88" s="33"/>
      <c r="O88" s="33"/>
      <c r="P88" s="33"/>
      <c r="Q88" s="33"/>
      <c r="R88" s="33"/>
      <c r="S88" s="33"/>
      <c r="T88" s="33"/>
      <c r="U88" s="33"/>
      <c r="V88" s="33"/>
      <c r="W88" s="33"/>
    </row>
    <row r="89" spans="2:23">
      <c r="B89" s="1"/>
      <c r="C89" s="33"/>
      <c r="D89" s="33"/>
      <c r="E89" s="33"/>
      <c r="F89" s="33"/>
      <c r="G89" s="33"/>
      <c r="H89" s="33"/>
      <c r="I89" s="33"/>
      <c r="J89" s="33"/>
      <c r="K89" s="33"/>
      <c r="L89" s="33"/>
      <c r="M89" s="33"/>
      <c r="N89" s="33"/>
      <c r="O89" s="33"/>
      <c r="P89" s="33"/>
      <c r="Q89" s="33"/>
      <c r="R89" s="33"/>
      <c r="S89" s="33"/>
      <c r="T89" s="33"/>
      <c r="U89" s="33"/>
      <c r="V89" s="33"/>
      <c r="W89" s="33"/>
    </row>
    <row r="90" spans="2:23">
      <c r="B90" s="1"/>
      <c r="C90" s="33"/>
      <c r="D90" s="33"/>
      <c r="E90" s="33"/>
      <c r="F90" s="33"/>
      <c r="G90" s="33"/>
      <c r="H90" s="33"/>
      <c r="I90" s="33"/>
      <c r="J90" s="33"/>
      <c r="K90" s="33"/>
      <c r="L90" s="33"/>
      <c r="M90" s="33"/>
      <c r="N90" s="33"/>
      <c r="O90" s="33"/>
      <c r="P90" s="33"/>
      <c r="Q90" s="33"/>
      <c r="R90" s="33"/>
      <c r="S90" s="33"/>
      <c r="T90" s="33"/>
      <c r="U90" s="33"/>
      <c r="V90" s="33"/>
      <c r="W90" s="33"/>
    </row>
    <row r="91" spans="2:23">
      <c r="B91" s="1"/>
      <c r="C91" s="33"/>
      <c r="D91" s="33"/>
      <c r="E91" s="33"/>
      <c r="F91" s="33"/>
      <c r="G91" s="33"/>
      <c r="H91" s="33"/>
      <c r="I91" s="33"/>
      <c r="J91" s="33"/>
      <c r="K91" s="33"/>
      <c r="L91" s="33"/>
      <c r="M91" s="33"/>
      <c r="N91" s="33"/>
      <c r="O91" s="33"/>
      <c r="P91" s="33"/>
      <c r="Q91" s="33"/>
      <c r="R91" s="33"/>
      <c r="S91" s="33"/>
      <c r="T91" s="33"/>
      <c r="U91" s="33"/>
      <c r="V91" s="33"/>
      <c r="W91" s="33"/>
    </row>
    <row r="92" spans="2:23">
      <c r="B92" s="1"/>
      <c r="C92" s="33"/>
      <c r="D92" s="33"/>
      <c r="E92" s="33"/>
      <c r="F92" s="33"/>
      <c r="G92" s="33"/>
      <c r="H92" s="33"/>
      <c r="I92" s="33"/>
      <c r="J92" s="33"/>
      <c r="K92" s="33"/>
      <c r="L92" s="33"/>
      <c r="M92" s="33"/>
      <c r="N92" s="33"/>
      <c r="O92" s="33"/>
      <c r="P92" s="33"/>
      <c r="Q92" s="33"/>
      <c r="R92" s="33"/>
      <c r="S92" s="33"/>
      <c r="T92" s="33"/>
      <c r="U92" s="33"/>
      <c r="V92" s="33"/>
      <c r="W92" s="33"/>
    </row>
  </sheetData>
  <printOptions horizontalCentered="1"/>
  <pageMargins left="0.25" right="0.25" top="1" bottom="1" header="0.65" footer="0.5"/>
  <pageSetup scale="70" orientation="landscape" horizontalDpi="1200" verticalDpi="1200" r:id="rId1"/>
  <headerFooter alignWithMargins="0">
    <oddHeader xml:space="preserve">&amp;R&amp;16AEP - SPP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243"/>
  <sheetViews>
    <sheetView showWhiteSpace="0" topLeftCell="A18" zoomScale="81" zoomScaleNormal="81" zoomScaleSheetLayoutView="93" zoomScalePageLayoutView="80" workbookViewId="0">
      <selection activeCell="O34" sqref="O34"/>
    </sheetView>
  </sheetViews>
  <sheetFormatPr defaultRowHeight="12.75"/>
  <cols>
    <col min="1" max="2" width="9.7109375" style="679" customWidth="1"/>
    <col min="3" max="3" width="50.7109375" style="55" customWidth="1"/>
    <col min="4" max="10" width="16.7109375" style="55" customWidth="1"/>
    <col min="11" max="11" width="13.85546875" style="55" customWidth="1"/>
    <col min="12" max="16384" width="9.140625" style="55"/>
  </cols>
  <sheetData>
    <row r="1" spans="1:16" ht="18">
      <c r="A1" s="1561" t="str">
        <f>+'PSO TCOS'!F3</f>
        <v xml:space="preserve">AEP West SPP Member Operating Companies </v>
      </c>
      <c r="B1" s="1561"/>
      <c r="C1" s="1561"/>
      <c r="D1" s="1561"/>
      <c r="E1" s="1561"/>
      <c r="F1" s="1561"/>
      <c r="G1" s="1561"/>
      <c r="H1" s="1561"/>
      <c r="I1" s="1561"/>
      <c r="J1" s="1561"/>
      <c r="K1" s="667"/>
      <c r="L1" s="38"/>
      <c r="M1" s="38"/>
      <c r="N1" s="38"/>
      <c r="O1" s="38"/>
      <c r="P1" s="38"/>
    </row>
    <row r="2" spans="1:16" ht="18">
      <c r="A2" s="1562" t="str">
        <f>+'PSO WS A RB Support '!A2:G2</f>
        <v xml:space="preserve">Actual / Projected 2019 Rate Year Cost of Service Formula Rate </v>
      </c>
      <c r="B2" s="1562"/>
      <c r="C2" s="1562"/>
      <c r="D2" s="1562"/>
      <c r="E2" s="1562"/>
      <c r="F2" s="1562"/>
      <c r="G2" s="1562"/>
      <c r="H2" s="1562"/>
      <c r="I2" s="1562"/>
      <c r="J2" s="1562"/>
      <c r="K2" s="667"/>
      <c r="L2" s="38"/>
      <c r="M2" s="38"/>
      <c r="N2" s="38"/>
      <c r="O2" s="38"/>
      <c r="P2" s="38"/>
    </row>
    <row r="3" spans="1:16" ht="18">
      <c r="A3" s="1562" t="s">
        <v>583</v>
      </c>
      <c r="B3" s="1562"/>
      <c r="C3" s="1562"/>
      <c r="D3" s="1562"/>
      <c r="E3" s="1562"/>
      <c r="F3" s="1562"/>
      <c r="G3" s="1562"/>
      <c r="H3" s="1562"/>
      <c r="I3" s="1562"/>
      <c r="J3" s="1562"/>
    </row>
    <row r="4" spans="1:16" ht="18">
      <c r="A4" s="1563" t="str">
        <f>+'PSO TCOS'!F7</f>
        <v>PUBLIC SERVICE COMPANY OF OKLAHOMA</v>
      </c>
      <c r="B4" s="1563"/>
      <c r="C4" s="1563"/>
      <c r="D4" s="1563"/>
      <c r="E4" s="1563"/>
      <c r="F4" s="1563"/>
      <c r="G4" s="1563"/>
      <c r="H4" s="1563"/>
      <c r="I4" s="1563"/>
      <c r="J4" s="1563"/>
    </row>
    <row r="5" spans="1:16" ht="20.25">
      <c r="B5" s="680"/>
      <c r="C5" s="666"/>
      <c r="D5" s="666"/>
      <c r="E5" s="165"/>
      <c r="F5" s="666"/>
      <c r="G5" s="666"/>
      <c r="H5" s="666"/>
      <c r="I5" s="666"/>
      <c r="J5" s="165"/>
    </row>
    <row r="6" spans="1:16" ht="20.25">
      <c r="B6" s="680"/>
      <c r="C6" s="165" t="s">
        <v>291</v>
      </c>
      <c r="D6" s="666"/>
      <c r="E6" s="165"/>
      <c r="F6" s="666"/>
      <c r="G6" s="666"/>
      <c r="H6" s="666"/>
      <c r="I6" s="666"/>
      <c r="J6" s="666"/>
    </row>
    <row r="7" spans="1:16">
      <c r="C7" s="681"/>
      <c r="G7" s="679"/>
      <c r="H7" s="679"/>
      <c r="I7" s="679"/>
    </row>
    <row r="8" spans="1:16">
      <c r="B8" s="41" t="s">
        <v>338</v>
      </c>
      <c r="C8" s="41" t="s">
        <v>339</v>
      </c>
      <c r="D8" s="41" t="s">
        <v>340</v>
      </c>
      <c r="E8" s="41" t="s">
        <v>266</v>
      </c>
      <c r="F8" s="41" t="s">
        <v>267</v>
      </c>
      <c r="G8" s="41" t="s">
        <v>268</v>
      </c>
      <c r="H8" s="41" t="s">
        <v>273</v>
      </c>
      <c r="I8" s="41" t="s">
        <v>207</v>
      </c>
      <c r="J8" s="41" t="s">
        <v>91</v>
      </c>
    </row>
    <row r="9" spans="1:16">
      <c r="E9" s="682" t="s">
        <v>291</v>
      </c>
      <c r="F9" s="43" t="s">
        <v>269</v>
      </c>
      <c r="G9" s="41" t="s">
        <v>184</v>
      </c>
      <c r="H9" s="41" t="s">
        <v>92</v>
      </c>
      <c r="I9" s="41" t="s">
        <v>291</v>
      </c>
      <c r="J9" s="41" t="s">
        <v>354</v>
      </c>
    </row>
    <row r="10" spans="1:16">
      <c r="A10" s="41" t="s">
        <v>345</v>
      </c>
      <c r="C10" s="62"/>
      <c r="D10" s="41"/>
      <c r="E10" s="41" t="s">
        <v>291</v>
      </c>
      <c r="F10" s="41" t="s">
        <v>292</v>
      </c>
      <c r="G10" s="41" t="s">
        <v>225</v>
      </c>
      <c r="H10" s="41" t="s">
        <v>93</v>
      </c>
      <c r="I10" s="41" t="s">
        <v>337</v>
      </c>
      <c r="J10" s="41" t="s">
        <v>90</v>
      </c>
    </row>
    <row r="11" spans="1:16">
      <c r="A11" s="44" t="s">
        <v>294</v>
      </c>
      <c r="B11" s="44" t="s">
        <v>272</v>
      </c>
      <c r="C11" s="44" t="s">
        <v>343</v>
      </c>
      <c r="D11" s="44" t="s">
        <v>270</v>
      </c>
      <c r="E11" s="44" t="s">
        <v>94</v>
      </c>
      <c r="F11" s="44" t="s">
        <v>226</v>
      </c>
      <c r="G11" s="44" t="s">
        <v>226</v>
      </c>
      <c r="H11" s="44" t="s">
        <v>95</v>
      </c>
      <c r="I11" s="44" t="s">
        <v>226</v>
      </c>
      <c r="J11" s="44" t="s">
        <v>96</v>
      </c>
    </row>
    <row r="12" spans="1:16">
      <c r="C12" s="681"/>
      <c r="G12" s="679"/>
      <c r="H12" s="679"/>
      <c r="I12" s="679"/>
    </row>
    <row r="13" spans="1:16" ht="12.75" customHeight="1">
      <c r="C13" s="62"/>
      <c r="G13" s="679"/>
      <c r="H13" s="679"/>
      <c r="I13" s="679"/>
    </row>
    <row r="14" spans="1:16" ht="12.75" customHeight="1">
      <c r="B14" s="707" t="s">
        <v>557</v>
      </c>
      <c r="C14" s="62"/>
      <c r="G14" s="679"/>
      <c r="H14" s="679"/>
      <c r="I14" s="679"/>
    </row>
    <row r="15" spans="1:16" ht="12.75" customHeight="1">
      <c r="C15" s="62"/>
      <c r="G15" s="679"/>
      <c r="H15" s="679"/>
      <c r="I15" s="679"/>
    </row>
    <row r="16" spans="1:16" ht="15.75">
      <c r="C16" s="708" t="s">
        <v>559</v>
      </c>
    </row>
    <row r="17" spans="1:10" ht="6" customHeight="1">
      <c r="C17" s="67"/>
    </row>
    <row r="18" spans="1:10" ht="12.75" customHeight="1">
      <c r="A18" s="679">
        <v>1</v>
      </c>
      <c r="B18" s="683" t="s">
        <v>99</v>
      </c>
      <c r="C18" s="72" t="str">
        <f>""&amp;'PSO TCOS'!N1&amp;" Year End Tax Deferrals - WS C-1"</f>
        <v>2019 Year End Tax Deferrals - WS C-1</v>
      </c>
      <c r="D18" s="195">
        <f>+'PSO WS C-1 ADIT EOY'!H50</f>
        <v>-1018002788.5099999</v>
      </c>
      <c r="E18" s="195">
        <f>+'PSO WS C-1 ADIT EOY'!J50</f>
        <v>7168398.1900000013</v>
      </c>
      <c r="F18" s="195">
        <f>+'PSO WS C-1 ADIT EOY'!K50</f>
        <v>0</v>
      </c>
      <c r="G18" s="195">
        <f>+'PSO WS C-1 ADIT EOY'!L50</f>
        <v>-1014947274.2699999</v>
      </c>
      <c r="H18" s="195">
        <f>+'PSO WS C-1 ADIT EOY'!M50</f>
        <v>0</v>
      </c>
      <c r="I18" s="195">
        <f>+'PSO WS C-1 ADIT EOY'!N50</f>
        <v>-10223912.43</v>
      </c>
      <c r="J18" s="685"/>
    </row>
    <row r="19" spans="1:10" ht="12.75" customHeight="1">
      <c r="A19" s="679">
        <f>+A18+1</f>
        <v>2</v>
      </c>
      <c r="B19" s="683" t="s">
        <v>99</v>
      </c>
      <c r="C19" s="72" t="str">
        <f>""&amp;'PSO TCOS'!N1-1&amp;" Year End Tax Deferrals - WS C-2"</f>
        <v>2018 Year End Tax Deferrals - WS C-2</v>
      </c>
      <c r="D19" s="195">
        <f>+'PSO WS C-2 ADIT BOY'!H49</f>
        <v>-1012368993.5099999</v>
      </c>
      <c r="E19" s="195">
        <f>+'PSO WS C-2 ADIT BOY'!J49</f>
        <v>7112746.1900000013</v>
      </c>
      <c r="F19" s="195">
        <f>+'PSO WS C-2 ADIT BOY'!K49</f>
        <v>0</v>
      </c>
      <c r="G19" s="195">
        <f>+'PSO WS C-2 ADIT BOY'!L49</f>
        <v>-1009337567.7699999</v>
      </c>
      <c r="H19" s="195">
        <f>+'PSO WS C-2 ADIT BOY'!M49</f>
        <v>0</v>
      </c>
      <c r="I19" s="195">
        <f>+'PSO WS C-2 ADIT BOY'!N49</f>
        <v>-10144172.23</v>
      </c>
      <c r="J19" s="679"/>
    </row>
    <row r="20" spans="1:10" ht="12.75" customHeight="1">
      <c r="B20" s="691" t="s">
        <v>291</v>
      </c>
      <c r="D20" s="684"/>
      <c r="E20" s="692"/>
      <c r="F20" s="684"/>
      <c r="G20" s="684" t="s">
        <v>291</v>
      </c>
      <c r="H20" s="684"/>
      <c r="I20" s="684"/>
    </row>
    <row r="21" spans="1:10" ht="12.75" customHeight="1">
      <c r="A21" s="679">
        <f>+A19+1</f>
        <v>3</v>
      </c>
      <c r="C21" s="62" t="s">
        <v>97</v>
      </c>
      <c r="D21" s="693">
        <f t="shared" ref="D21:I21" si="0">D18+D19</f>
        <v>-2030371782.0199997</v>
      </c>
      <c r="E21" s="693">
        <f t="shared" si="0"/>
        <v>14281144.380000003</v>
      </c>
      <c r="F21" s="693">
        <f t="shared" si="0"/>
        <v>0</v>
      </c>
      <c r="G21" s="693">
        <f t="shared" si="0"/>
        <v>-2024284842.0399997</v>
      </c>
      <c r="H21" s="693">
        <f t="shared" si="0"/>
        <v>0</v>
      </c>
      <c r="I21" s="693">
        <f t="shared" si="0"/>
        <v>-20368084.66</v>
      </c>
      <c r="J21" s="689"/>
    </row>
    <row r="22" spans="1:10" ht="12.75" customHeight="1">
      <c r="A22" s="679">
        <f>+A21+1</f>
        <v>4</v>
      </c>
      <c r="C22" s="62" t="s">
        <v>1117</v>
      </c>
      <c r="D22" s="278">
        <f t="shared" ref="D22:I22" si="1">D21/2</f>
        <v>-1015185891.0099999</v>
      </c>
      <c r="E22" s="278">
        <f t="shared" si="1"/>
        <v>7140572.1900000013</v>
      </c>
      <c r="F22" s="278">
        <f t="shared" si="1"/>
        <v>0</v>
      </c>
      <c r="G22" s="278">
        <f t="shared" si="1"/>
        <v>-1012142421.0199999</v>
      </c>
      <c r="H22" s="172">
        <f t="shared" si="1"/>
        <v>0</v>
      </c>
      <c r="I22" s="693">
        <f t="shared" si="1"/>
        <v>-10184042.33</v>
      </c>
      <c r="J22" s="689"/>
    </row>
    <row r="23" spans="1:10" ht="12.75" customHeight="1">
      <c r="A23" s="679">
        <f>+A22+1</f>
        <v>5</v>
      </c>
      <c r="B23" s="896"/>
      <c r="C23" s="819" t="s">
        <v>1116</v>
      </c>
      <c r="D23" s="278"/>
      <c r="E23" s="278"/>
      <c r="F23" s="278"/>
      <c r="G23" s="278">
        <f>'PSO WS C-3 ADIT Proration'!I34</f>
        <v>3023984.4851592779</v>
      </c>
      <c r="H23" s="172"/>
      <c r="I23" s="897"/>
      <c r="J23" s="689"/>
    </row>
    <row r="24" spans="1:10" ht="12.75" customHeight="1">
      <c r="A24" s="679">
        <f>+A23+1</f>
        <v>6</v>
      </c>
      <c r="C24" s="62" t="s">
        <v>579</v>
      </c>
      <c r="D24" s="715">
        <f t="shared" ref="D24:I24" si="2">+D22+D23</f>
        <v>-1015185891.0099999</v>
      </c>
      <c r="E24" s="715">
        <f t="shared" si="2"/>
        <v>7140572.1900000013</v>
      </c>
      <c r="F24" s="715">
        <f t="shared" si="2"/>
        <v>0</v>
      </c>
      <c r="G24" s="715">
        <f t="shared" si="2"/>
        <v>-1009118436.5348406</v>
      </c>
      <c r="H24" s="715">
        <f t="shared" si="2"/>
        <v>0</v>
      </c>
      <c r="I24" s="715">
        <f t="shared" si="2"/>
        <v>-10184042.33</v>
      </c>
      <c r="J24" s="689"/>
    </row>
    <row r="25" spans="1:10" ht="12.75" customHeight="1">
      <c r="A25" s="679">
        <f>+A24+1</f>
        <v>7</v>
      </c>
      <c r="B25" s="694"/>
      <c r="C25" s="686" t="s">
        <v>1118</v>
      </c>
      <c r="D25" s="687"/>
      <c r="E25" s="688">
        <v>0</v>
      </c>
      <c r="F25" s="688">
        <v>1</v>
      </c>
      <c r="G25" s="688">
        <f>'PSO TCOS'!J62</f>
        <v>0.1638085571919968</v>
      </c>
      <c r="H25" s="688">
        <f>'PSO TCOS'!J63</f>
        <v>0.25829345928543263</v>
      </c>
      <c r="I25" s="688">
        <f>'PSO TCOS'!L217</f>
        <v>8.2008465586260154E-2</v>
      </c>
    </row>
    <row r="26" spans="1:10" ht="12.75" customHeight="1">
      <c r="A26" s="679">
        <f>+A25+1</f>
        <v>8</v>
      </c>
      <c r="C26" s="62" t="s">
        <v>98</v>
      </c>
      <c r="E26" s="689">
        <f>E25*E24</f>
        <v>0</v>
      </c>
      <c r="F26" s="689">
        <f>F25*F24</f>
        <v>0</v>
      </c>
      <c r="G26" s="689">
        <f>G25*G24</f>
        <v>-165302235.12461582</v>
      </c>
      <c r="H26" s="689">
        <f>H25*H24</f>
        <v>0</v>
      </c>
      <c r="I26" s="689">
        <f>I25*I24</f>
        <v>-835177.68494882167</v>
      </c>
      <c r="J26" s="690">
        <f>SUM(F26:I26)</f>
        <v>-166137412.80956465</v>
      </c>
    </row>
    <row r="27" spans="1:10" ht="12.75" customHeight="1">
      <c r="C27" s="67"/>
    </row>
    <row r="28" spans="1:10" ht="12.75" customHeight="1">
      <c r="C28" s="67"/>
    </row>
    <row r="29" spans="1:10" ht="12.75" customHeight="1">
      <c r="C29" s="708" t="s">
        <v>560</v>
      </c>
    </row>
    <row r="30" spans="1:10" ht="6" customHeight="1">
      <c r="C30" s="67"/>
    </row>
    <row r="31" spans="1:10" ht="12.75" customHeight="1">
      <c r="A31" s="679">
        <f>+A26:B26+1</f>
        <v>9</v>
      </c>
      <c r="B31" s="683" t="s">
        <v>111</v>
      </c>
      <c r="C31" s="72" t="str">
        <f>+C18</f>
        <v>2019 Year End Tax Deferrals - WS C-1</v>
      </c>
      <c r="D31" s="195">
        <f>+'PSO WS C-1 ADIT EOY'!H101</f>
        <v>-244171628.19999999</v>
      </c>
      <c r="E31" s="195">
        <f>+'PSO WS C-1 ADIT EOY'!J101</f>
        <v>-55646455.910000004</v>
      </c>
      <c r="F31" s="195">
        <f>+'PSO WS C-1 ADIT EOY'!K101</f>
        <v>0</v>
      </c>
      <c r="G31" s="195">
        <f>+'PSO WS C-1 ADIT EOY'!L101</f>
        <v>-171681551.25999999</v>
      </c>
      <c r="H31" s="195">
        <f>+'PSO WS C-1 ADIT EOY'!M101</f>
        <v>0</v>
      </c>
      <c r="I31" s="195">
        <f>+'PSO WS C-1 ADIT EOY'!N101</f>
        <v>-16843621.030000001</v>
      </c>
      <c r="J31" s="685"/>
    </row>
    <row r="32" spans="1:10" ht="12.75" customHeight="1">
      <c r="A32" s="679">
        <f>+A31+1</f>
        <v>10</v>
      </c>
      <c r="B32" s="683" t="s">
        <v>111</v>
      </c>
      <c r="C32" s="72" t="str">
        <f>+C19</f>
        <v>2018 Year End Tax Deferrals - WS C-2</v>
      </c>
      <c r="D32" s="195">
        <f>+'PSO WS C-2 ADIT BOY'!H99</f>
        <v>-244171628.19999999</v>
      </c>
      <c r="E32" s="195">
        <f>+'PSO WS C-2 ADIT BOY'!J99</f>
        <v>-55646455.910000004</v>
      </c>
      <c r="F32" s="195">
        <f>+'PSO WS C-2 ADIT BOY'!K99</f>
        <v>0</v>
      </c>
      <c r="G32" s="195">
        <f>+'PSO WS C-2 ADIT BOY'!L99</f>
        <v>-171681551.25999999</v>
      </c>
      <c r="H32" s="195">
        <f>+'PSO WS C-2 ADIT BOY'!M99</f>
        <v>0</v>
      </c>
      <c r="I32" s="195">
        <f>+'PSO WS C-2 ADIT BOY'!N99</f>
        <v>-16843621.030000001</v>
      </c>
      <c r="J32" s="679"/>
    </row>
    <row r="33" spans="1:10" ht="12.75" customHeight="1">
      <c r="B33" s="691" t="s">
        <v>291</v>
      </c>
      <c r="D33" s="684"/>
      <c r="E33" s="692"/>
      <c r="F33" s="684"/>
      <c r="G33" s="684" t="s">
        <v>291</v>
      </c>
      <c r="H33" s="684"/>
      <c r="I33" s="684"/>
    </row>
    <row r="34" spans="1:10" ht="12.75" customHeight="1">
      <c r="A34" s="679">
        <f>+A32+1</f>
        <v>11</v>
      </c>
      <c r="C34" s="62" t="s">
        <v>97</v>
      </c>
      <c r="D34" s="693">
        <f t="shared" ref="D34:I34" si="3">D31+D32</f>
        <v>-488343256.39999998</v>
      </c>
      <c r="E34" s="693">
        <f t="shared" si="3"/>
        <v>-111292911.82000001</v>
      </c>
      <c r="F34" s="693">
        <f t="shared" si="3"/>
        <v>0</v>
      </c>
      <c r="G34" s="693">
        <f t="shared" si="3"/>
        <v>-343363102.51999998</v>
      </c>
      <c r="H34" s="693">
        <f t="shared" si="3"/>
        <v>0</v>
      </c>
      <c r="I34" s="693">
        <f t="shared" si="3"/>
        <v>-33687242.060000002</v>
      </c>
      <c r="J34" s="689"/>
    </row>
    <row r="35" spans="1:10" ht="12.75" customHeight="1">
      <c r="A35" s="679">
        <f>+A34+1</f>
        <v>12</v>
      </c>
      <c r="C35" s="62" t="s">
        <v>399</v>
      </c>
      <c r="D35" s="278">
        <f t="shared" ref="D35:I35" si="4">D34/2</f>
        <v>-244171628.19999999</v>
      </c>
      <c r="E35" s="278">
        <f t="shared" si="4"/>
        <v>-55646455.910000004</v>
      </c>
      <c r="F35" s="278">
        <f t="shared" si="4"/>
        <v>0</v>
      </c>
      <c r="G35" s="278">
        <f t="shared" si="4"/>
        <v>-171681551.25999999</v>
      </c>
      <c r="H35" s="278">
        <f t="shared" si="4"/>
        <v>0</v>
      </c>
      <c r="I35" s="278">
        <f t="shared" si="4"/>
        <v>-16843621.030000001</v>
      </c>
      <c r="J35" s="689"/>
    </row>
    <row r="36" spans="1:10" ht="12.75" customHeight="1">
      <c r="A36" s="679">
        <f>+A35+1</f>
        <v>13</v>
      </c>
      <c r="B36" s="694"/>
      <c r="C36" s="686" t="s">
        <v>1119</v>
      </c>
      <c r="D36" s="687"/>
      <c r="E36" s="688">
        <f>E25</f>
        <v>0</v>
      </c>
      <c r="F36" s="688">
        <f>F25</f>
        <v>1</v>
      </c>
      <c r="G36" s="688">
        <f>G25</f>
        <v>0.1638085571919968</v>
      </c>
      <c r="H36" s="688">
        <f>H25</f>
        <v>0.25829345928543263</v>
      </c>
      <c r="I36" s="688">
        <f>I25</f>
        <v>8.2008465586260154E-2</v>
      </c>
    </row>
    <row r="37" spans="1:10" ht="12.75" customHeight="1">
      <c r="A37" s="679">
        <f>+A36+1</f>
        <v>14</v>
      </c>
      <c r="C37" s="62" t="s">
        <v>98</v>
      </c>
      <c r="E37" s="689">
        <f>E35*E36</f>
        <v>0</v>
      </c>
      <c r="F37" s="689">
        <f>F35*F36</f>
        <v>0</v>
      </c>
      <c r="G37" s="689">
        <f>G35*G36</f>
        <v>-28122907.208384439</v>
      </c>
      <c r="H37" s="689">
        <f>H35*H36</f>
        <v>0</v>
      </c>
      <c r="I37" s="689">
        <f>I35*I36</f>
        <v>-1381319.5155867629</v>
      </c>
      <c r="J37" s="690">
        <f>SUM(F37:I37)</f>
        <v>-29504226.723971203</v>
      </c>
    </row>
    <row r="38" spans="1:10" ht="12.75" customHeight="1">
      <c r="C38" s="67"/>
    </row>
    <row r="39" spans="1:10" ht="12.75" customHeight="1">
      <c r="B39" s="63"/>
      <c r="C39" s="662"/>
      <c r="D39" s="662"/>
      <c r="E39" s="662"/>
      <c r="F39" s="662"/>
      <c r="G39" s="662"/>
      <c r="H39" s="662"/>
      <c r="I39" s="662"/>
      <c r="J39" s="662"/>
    </row>
    <row r="40" spans="1:10" ht="12.75" customHeight="1">
      <c r="C40" s="62"/>
      <c r="E40" s="689"/>
      <c r="F40" s="689"/>
      <c r="G40" s="689"/>
      <c r="H40" s="689"/>
      <c r="I40" s="689"/>
      <c r="J40" s="695"/>
    </row>
    <row r="41" spans="1:10" ht="15.75">
      <c r="C41" s="708" t="s">
        <v>558</v>
      </c>
    </row>
    <row r="42" spans="1:10" ht="12.75" customHeight="1">
      <c r="I42" s="696"/>
    </row>
    <row r="43" spans="1:10" ht="12.75" customHeight="1">
      <c r="A43" s="679">
        <f>+A37+1</f>
        <v>15</v>
      </c>
      <c r="B43" s="697">
        <v>190.1</v>
      </c>
      <c r="C43" s="72" t="str">
        <f>+C18</f>
        <v>2019 Year End Tax Deferrals - WS C-1</v>
      </c>
      <c r="D43" s="195">
        <f>+'PSO WS C-1 ADIT EOY'!H162</f>
        <v>123669008.46000001</v>
      </c>
      <c r="E43" s="195">
        <f>+'PSO WS C-1 ADIT EOY'!J162</f>
        <v>78212488.729999989</v>
      </c>
      <c r="F43" s="195">
        <f>+'PSO WS C-1 ADIT EOY'!K162</f>
        <v>0</v>
      </c>
      <c r="G43" s="195">
        <f>+'PSO WS C-1 ADIT EOY'!L162</f>
        <v>40560757.090000004</v>
      </c>
      <c r="H43" s="195">
        <f>+'PSO WS C-1 ADIT EOY'!M162</f>
        <v>0</v>
      </c>
      <c r="I43" s="195">
        <f>+'PSO WS C-1 ADIT EOY'!N162</f>
        <v>4895762.6399999997</v>
      </c>
      <c r="J43" s="685"/>
    </row>
    <row r="44" spans="1:10">
      <c r="A44" s="679">
        <f>+A43+1</f>
        <v>16</v>
      </c>
      <c r="B44" s="697">
        <v>190.1</v>
      </c>
      <c r="C44" s="72" t="str">
        <f>+C19</f>
        <v>2018 Year End Tax Deferrals - WS C-2</v>
      </c>
      <c r="D44" s="195">
        <f>+'PSO WS C-2 ADIT BOY'!H162</f>
        <v>123669008.46000001</v>
      </c>
      <c r="E44" s="195">
        <f>+'PSO WS C-2 ADIT BOY'!J162</f>
        <v>78212488.729999989</v>
      </c>
      <c r="F44" s="195">
        <f>+'PSO WS C-2 ADIT BOY'!K162</f>
        <v>0</v>
      </c>
      <c r="G44" s="195">
        <f>+'PSO WS C-2 ADIT BOY'!L162</f>
        <v>40560757.090000004</v>
      </c>
      <c r="H44" s="195">
        <f>+'PSO WS C-2 ADIT BOY'!M162</f>
        <v>0</v>
      </c>
      <c r="I44" s="195">
        <f>+'PSO WS C-2 ADIT BOY'!N162</f>
        <v>4895762.6399999997</v>
      </c>
      <c r="J44" s="679"/>
    </row>
    <row r="45" spans="1:10">
      <c r="B45" s="691" t="s">
        <v>291</v>
      </c>
      <c r="D45" s="684"/>
      <c r="E45" s="692"/>
      <c r="F45" s="684"/>
      <c r="G45" s="684" t="s">
        <v>291</v>
      </c>
      <c r="H45" s="684"/>
      <c r="I45" s="684"/>
    </row>
    <row r="46" spans="1:10">
      <c r="A46" s="679">
        <f>+A44+1</f>
        <v>17</v>
      </c>
      <c r="C46" s="62" t="s">
        <v>97</v>
      </c>
      <c r="D46" s="693">
        <f t="shared" ref="D46:I46" si="5">D43+D44</f>
        <v>247338016.92000002</v>
      </c>
      <c r="E46" s="693">
        <f t="shared" si="5"/>
        <v>156424977.45999998</v>
      </c>
      <c r="F46" s="693">
        <f t="shared" si="5"/>
        <v>0</v>
      </c>
      <c r="G46" s="693">
        <f t="shared" si="5"/>
        <v>81121514.180000007</v>
      </c>
      <c r="H46" s="693">
        <f t="shared" si="5"/>
        <v>0</v>
      </c>
      <c r="I46" s="693">
        <f t="shared" si="5"/>
        <v>9791525.2799999993</v>
      </c>
      <c r="J46" s="689"/>
    </row>
    <row r="47" spans="1:10">
      <c r="A47" s="679">
        <f>+A46+1</f>
        <v>18</v>
      </c>
      <c r="C47" s="62" t="s">
        <v>1117</v>
      </c>
      <c r="D47" s="172">
        <f t="shared" ref="D47:I47" si="6">D46/2</f>
        <v>123669008.46000001</v>
      </c>
      <c r="E47" s="172">
        <f t="shared" si="6"/>
        <v>78212488.729999989</v>
      </c>
      <c r="F47" s="172">
        <f t="shared" si="6"/>
        <v>0</v>
      </c>
      <c r="G47" s="172">
        <f t="shared" si="6"/>
        <v>40560757.090000004</v>
      </c>
      <c r="H47" s="172">
        <f t="shared" si="6"/>
        <v>0</v>
      </c>
      <c r="I47" s="172">
        <f t="shared" si="6"/>
        <v>4895762.6399999997</v>
      </c>
      <c r="J47" s="689"/>
    </row>
    <row r="48" spans="1:10">
      <c r="A48" s="679">
        <f>+A47+1</f>
        <v>19</v>
      </c>
      <c r="C48" s="819" t="s">
        <v>1116</v>
      </c>
      <c r="D48" s="278"/>
      <c r="E48" s="278"/>
      <c r="F48" s="278">
        <f>+'PSO WS C-3 ADIT Proration'!I61</f>
        <v>0</v>
      </c>
      <c r="G48" s="278"/>
      <c r="H48" s="172"/>
      <c r="I48" s="897"/>
      <c r="J48" s="689"/>
    </row>
    <row r="49" spans="1:10">
      <c r="A49" s="679">
        <f>+A48+1</f>
        <v>20</v>
      </c>
      <c r="C49" s="62" t="s">
        <v>579</v>
      </c>
      <c r="D49" s="715">
        <f t="shared" ref="D49:I49" si="7">+D47+D48</f>
        <v>123669008.46000001</v>
      </c>
      <c r="E49" s="715">
        <f t="shared" si="7"/>
        <v>78212488.729999989</v>
      </c>
      <c r="F49" s="715">
        <f t="shared" si="7"/>
        <v>0</v>
      </c>
      <c r="G49" s="715">
        <f t="shared" si="7"/>
        <v>40560757.090000004</v>
      </c>
      <c r="H49" s="715">
        <f t="shared" si="7"/>
        <v>0</v>
      </c>
      <c r="I49" s="715">
        <f t="shared" si="7"/>
        <v>4895762.6399999997</v>
      </c>
      <c r="J49" s="689"/>
    </row>
    <row r="50" spans="1:10" ht="12.75" customHeight="1">
      <c r="A50" s="679">
        <f>+A49+1</f>
        <v>21</v>
      </c>
      <c r="B50" s="694"/>
      <c r="C50" s="686" t="s">
        <v>1118</v>
      </c>
      <c r="D50" s="687"/>
      <c r="E50" s="688">
        <v>0</v>
      </c>
      <c r="F50" s="688">
        <v>1</v>
      </c>
      <c r="G50" s="688">
        <f>G36</f>
        <v>0.1638085571919968</v>
      </c>
      <c r="H50" s="688">
        <f>H36</f>
        <v>0.25829345928543263</v>
      </c>
      <c r="I50" s="688">
        <f>I36</f>
        <v>8.2008465586260154E-2</v>
      </c>
    </row>
    <row r="51" spans="1:10">
      <c r="A51" s="679">
        <f>+A50+1</f>
        <v>22</v>
      </c>
      <c r="C51" s="62" t="s">
        <v>98</v>
      </c>
      <c r="E51" s="689">
        <f>E50*E49</f>
        <v>0</v>
      </c>
      <c r="F51" s="689">
        <f>F50*F49</f>
        <v>0</v>
      </c>
      <c r="G51" s="689">
        <f>G50*G49</f>
        <v>6644199.0975279557</v>
      </c>
      <c r="H51" s="689">
        <f>H50*H49</f>
        <v>0</v>
      </c>
      <c r="I51" s="689">
        <f>I50*I49</f>
        <v>401493.98198093812</v>
      </c>
      <c r="J51" s="690">
        <f>SUM(F51:I51)</f>
        <v>7045693.0795088941</v>
      </c>
    </row>
    <row r="52" spans="1:10">
      <c r="E52" s="698"/>
      <c r="F52" s="698"/>
      <c r="G52" s="698"/>
      <c r="I52" s="696"/>
    </row>
    <row r="53" spans="1:10">
      <c r="E53" s="699"/>
      <c r="F53" s="698"/>
      <c r="G53" s="1559" t="s">
        <v>89</v>
      </c>
      <c r="I53" s="696"/>
      <c r="J53" s="689" t="s">
        <v>291</v>
      </c>
    </row>
    <row r="54" spans="1:10" ht="15.75">
      <c r="C54" s="708" t="s">
        <v>100</v>
      </c>
      <c r="E54" s="699"/>
      <c r="F54" s="698"/>
      <c r="G54" s="1560"/>
    </row>
    <row r="55" spans="1:10" ht="6.75" customHeight="1">
      <c r="C55" s="67"/>
      <c r="E55" s="699"/>
      <c r="F55" s="698"/>
      <c r="G55" s="1560"/>
    </row>
    <row r="56" spans="1:10" ht="15.75">
      <c r="C56" s="714"/>
      <c r="G56" s="1560"/>
    </row>
    <row r="57" spans="1:10">
      <c r="A57" s="679">
        <f>+A51+1</f>
        <v>23</v>
      </c>
      <c r="B57" s="700">
        <v>255</v>
      </c>
      <c r="C57" s="701" t="str">
        <f>"Acc Defrd ITC - Federal - 12/31/"&amp;'PSO TCOS'!N1&amp;" (FF1 p. 267, Ln 2.h)"</f>
        <v>Acc Defrd ITC - Federal - 12/31/2019 (FF1 p. 267, Ln 2.h)</v>
      </c>
      <c r="D57" s="1507">
        <v>-3565</v>
      </c>
      <c r="E57" s="1309"/>
      <c r="F57" s="1309"/>
      <c r="G57" s="1309">
        <v>0</v>
      </c>
      <c r="H57" s="195"/>
      <c r="I57" s="195"/>
      <c r="J57" s="685"/>
    </row>
    <row r="58" spans="1:10">
      <c r="A58" s="679">
        <f>+A57+1</f>
        <v>24</v>
      </c>
      <c r="B58" s="700">
        <v>255</v>
      </c>
      <c r="C58" s="701" t="str">
        <f>"Acc Defrd ITC - Federal - 12/31/"&amp;'PSO TCOS'!N1-1&amp;" (FF1 p. 266, Ln 2.b)"</f>
        <v>Acc Defrd ITC - Federal - 12/31/2018 (FF1 p. 266, Ln 2.b)</v>
      </c>
      <c r="D58" s="1507">
        <v>-3565</v>
      </c>
      <c r="E58" s="1309"/>
      <c r="F58" s="1309"/>
      <c r="G58" s="1309">
        <v>0</v>
      </c>
      <c r="H58" s="195"/>
      <c r="I58" s="195"/>
      <c r="J58" s="679"/>
    </row>
    <row r="59" spans="1:10">
      <c r="B59" s="691" t="s">
        <v>291</v>
      </c>
      <c r="D59" s="684"/>
      <c r="E59" s="684"/>
      <c r="F59" s="684"/>
      <c r="G59" s="684" t="s">
        <v>291</v>
      </c>
      <c r="H59" s="684"/>
      <c r="I59" s="684"/>
    </row>
    <row r="60" spans="1:10">
      <c r="A60" s="679">
        <f>+A58+1</f>
        <v>25</v>
      </c>
      <c r="C60" s="62" t="s">
        <v>97</v>
      </c>
      <c r="D60" s="693">
        <f>D57+D58</f>
        <v>-7130</v>
      </c>
      <c r="E60" s="693"/>
      <c r="F60" s="693"/>
      <c r="G60" s="693">
        <f>G57+G58</f>
        <v>0</v>
      </c>
      <c r="H60" s="693"/>
      <c r="I60" s="693"/>
      <c r="J60" s="689"/>
    </row>
    <row r="61" spans="1:10">
      <c r="A61" s="679">
        <f>+A60+1</f>
        <v>26</v>
      </c>
      <c r="C61" s="62" t="s">
        <v>399</v>
      </c>
      <c r="D61" s="278">
        <f>D60/2</f>
        <v>-3565</v>
      </c>
      <c r="E61" s="278"/>
      <c r="F61" s="278"/>
      <c r="G61" s="278">
        <f>G60/2</f>
        <v>0</v>
      </c>
      <c r="H61" s="172"/>
      <c r="I61" s="172"/>
      <c r="J61" s="689"/>
    </row>
    <row r="62" spans="1:10" ht="12.75" customHeight="1">
      <c r="A62" s="679">
        <f>+A61+1</f>
        <v>27</v>
      </c>
      <c r="B62" s="694"/>
      <c r="C62" s="686" t="s">
        <v>1118</v>
      </c>
      <c r="D62" s="687"/>
      <c r="E62" s="702"/>
      <c r="F62" s="702"/>
      <c r="G62" s="688">
        <f>G50</f>
        <v>0.1638085571919968</v>
      </c>
      <c r="H62" s="702"/>
      <c r="I62" s="702"/>
    </row>
    <row r="63" spans="1:10">
      <c r="A63" s="679">
        <f>+A62+1</f>
        <v>28</v>
      </c>
      <c r="C63" s="62" t="s">
        <v>98</v>
      </c>
      <c r="E63" s="702" t="s">
        <v>29</v>
      </c>
      <c r="F63" s="702" t="s">
        <v>29</v>
      </c>
      <c r="G63" s="689">
        <f>G62*G61</f>
        <v>0</v>
      </c>
      <c r="H63" s="702" t="s">
        <v>29</v>
      </c>
      <c r="I63" s="702" t="s">
        <v>29</v>
      </c>
      <c r="J63" s="690">
        <f>SUM(F63:I63)</f>
        <v>0</v>
      </c>
    </row>
    <row r="64" spans="1:10" ht="12.75" customHeight="1">
      <c r="C64" s="67"/>
      <c r="E64" s="699"/>
      <c r="F64" s="698"/>
      <c r="G64" s="699"/>
    </row>
    <row r="65" spans="2:10" ht="12.75" customHeight="1">
      <c r="C65" s="67"/>
      <c r="E65" s="699"/>
      <c r="F65" s="698"/>
      <c r="G65" s="699"/>
    </row>
    <row r="66" spans="2:10" ht="12.75" customHeight="1">
      <c r="B66" s="198" t="s">
        <v>101</v>
      </c>
      <c r="C66" s="38" t="s">
        <v>102</v>
      </c>
      <c r="D66" s="38"/>
      <c r="E66" s="38"/>
      <c r="F66" s="38"/>
      <c r="G66" s="38"/>
      <c r="H66" s="38"/>
      <c r="I66" s="38"/>
      <c r="J66" s="38"/>
    </row>
    <row r="67" spans="2:10" ht="12.75" customHeight="1">
      <c r="B67" s="198"/>
      <c r="C67" s="38"/>
      <c r="D67" s="38"/>
      <c r="E67" s="38"/>
      <c r="F67" s="38"/>
      <c r="G67" s="38"/>
      <c r="H67" s="38"/>
      <c r="I67" s="38"/>
      <c r="J67" s="38"/>
    </row>
    <row r="68" spans="2:10" ht="12.75" customHeight="1">
      <c r="B68" s="198"/>
      <c r="C68" s="38"/>
      <c r="D68" s="38"/>
      <c r="E68" s="38"/>
      <c r="F68" s="38"/>
      <c r="G68" s="38"/>
      <c r="H68" s="38"/>
      <c r="I68" s="38"/>
      <c r="J68" s="38"/>
    </row>
    <row r="69" spans="2:10" ht="12.75" customHeight="1">
      <c r="B69" s="198"/>
      <c r="C69" s="38"/>
      <c r="D69" s="38"/>
      <c r="E69" s="38"/>
      <c r="F69" s="38"/>
      <c r="G69" s="38"/>
      <c r="H69" s="38"/>
      <c r="I69" s="38"/>
      <c r="J69" s="38"/>
    </row>
    <row r="70" spans="2:10" ht="12.75" customHeight="1">
      <c r="B70" s="198"/>
      <c r="C70" s="38"/>
      <c r="D70" s="38"/>
      <c r="E70" s="38"/>
      <c r="F70" s="38"/>
      <c r="G70" s="38"/>
      <c r="H70" s="38"/>
      <c r="I70" s="38"/>
      <c r="J70" s="38"/>
    </row>
    <row r="71" spans="2:10">
      <c r="B71" s="198"/>
      <c r="C71" s="38"/>
      <c r="D71" s="38"/>
      <c r="E71" s="38"/>
      <c r="F71" s="38"/>
      <c r="G71" s="38"/>
      <c r="H71" s="38"/>
      <c r="I71" s="38"/>
      <c r="J71" s="38"/>
    </row>
    <row r="72" spans="2:10">
      <c r="B72" s="198"/>
      <c r="C72" s="38"/>
      <c r="D72" s="38"/>
      <c r="E72" s="38"/>
      <c r="F72" s="38"/>
      <c r="G72" s="38"/>
      <c r="H72" s="38"/>
      <c r="I72" s="38"/>
      <c r="J72" s="38"/>
    </row>
    <row r="73" spans="2:10">
      <c r="B73" s="198"/>
      <c r="C73" s="38"/>
      <c r="D73" s="38"/>
      <c r="E73" s="38"/>
      <c r="F73" s="38"/>
      <c r="G73" s="38"/>
      <c r="H73" s="38"/>
      <c r="I73" s="38"/>
      <c r="J73" s="38"/>
    </row>
    <row r="74" spans="2:10">
      <c r="B74" s="198"/>
      <c r="C74" s="38"/>
      <c r="D74" s="38"/>
      <c r="E74" s="38"/>
      <c r="F74" s="38"/>
      <c r="G74" s="38"/>
      <c r="H74" s="38"/>
      <c r="I74" s="38"/>
      <c r="J74" s="38"/>
    </row>
    <row r="75" spans="2:10">
      <c r="B75" s="198"/>
      <c r="C75" s="38"/>
      <c r="D75" s="38"/>
      <c r="E75" s="38"/>
      <c r="F75" s="38"/>
      <c r="G75" s="38"/>
      <c r="H75" s="38"/>
      <c r="I75" s="38"/>
      <c r="J75" s="38" t="s">
        <v>291</v>
      </c>
    </row>
    <row r="76" spans="2:10">
      <c r="B76" s="198"/>
      <c r="C76" s="38"/>
      <c r="D76" s="38"/>
      <c r="E76" s="38"/>
      <c r="F76" s="38"/>
      <c r="G76" s="38"/>
      <c r="H76" s="38"/>
      <c r="I76" s="38"/>
      <c r="J76" s="38"/>
    </row>
    <row r="77" spans="2:10">
      <c r="B77" s="198"/>
      <c r="C77" s="38"/>
      <c r="D77" s="38"/>
      <c r="E77" s="38"/>
      <c r="F77" s="38"/>
      <c r="G77" s="38"/>
      <c r="H77" s="38"/>
      <c r="I77" s="38"/>
      <c r="J77" s="38"/>
    </row>
    <row r="78" spans="2:10">
      <c r="B78" s="198"/>
      <c r="C78" s="38"/>
      <c r="D78" s="38"/>
      <c r="E78" s="38"/>
      <c r="F78" s="38"/>
      <c r="G78" s="38"/>
      <c r="H78" s="38"/>
      <c r="I78" s="38"/>
      <c r="J78" s="38"/>
    </row>
    <row r="79" spans="2:10">
      <c r="B79" s="198"/>
      <c r="C79" s="38"/>
      <c r="D79" s="38"/>
      <c r="E79" s="38"/>
      <c r="F79" s="38"/>
      <c r="G79" s="38"/>
      <c r="H79" s="38"/>
      <c r="I79" s="38"/>
      <c r="J79" s="38"/>
    </row>
    <row r="80" spans="2:10">
      <c r="B80" s="198"/>
      <c r="C80" s="38"/>
      <c r="D80" s="38"/>
      <c r="E80" s="38"/>
      <c r="F80" s="38"/>
      <c r="G80" s="38"/>
      <c r="H80" s="38"/>
      <c r="I80" s="38"/>
      <c r="J80" s="38"/>
    </row>
    <row r="81" spans="2:11">
      <c r="B81" s="198"/>
      <c r="C81" s="38"/>
      <c r="D81" s="38"/>
      <c r="E81" s="38"/>
      <c r="F81" s="38"/>
      <c r="G81" s="38"/>
      <c r="H81" s="38"/>
      <c r="I81" s="38"/>
      <c r="J81" s="38"/>
    </row>
    <row r="82" spans="2:11">
      <c r="B82" s="198"/>
      <c r="C82" s="38"/>
      <c r="D82" s="38"/>
      <c r="E82" s="38"/>
      <c r="F82" s="38"/>
      <c r="G82" s="38"/>
      <c r="H82" s="38"/>
      <c r="I82" s="38"/>
      <c r="J82" s="38"/>
    </row>
    <row r="83" spans="2:11">
      <c r="B83" s="198"/>
      <c r="C83" s="38"/>
      <c r="D83" s="38"/>
      <c r="E83" s="38"/>
      <c r="F83" s="38"/>
      <c r="G83" s="38"/>
      <c r="H83" s="38"/>
      <c r="I83" s="38"/>
      <c r="J83" s="38"/>
      <c r="K83" s="38"/>
    </row>
    <row r="84" spans="2:11">
      <c r="B84" s="198"/>
      <c r="C84" s="38"/>
      <c r="D84" s="38"/>
      <c r="E84" s="38"/>
      <c r="F84" s="38"/>
      <c r="G84" s="38"/>
      <c r="H84" s="38"/>
      <c r="I84" s="38"/>
      <c r="J84" s="38"/>
      <c r="K84" s="38"/>
    </row>
    <row r="85" spans="2:11">
      <c r="B85" s="198"/>
      <c r="C85" s="38"/>
      <c r="D85" s="38"/>
      <c r="E85" s="38"/>
      <c r="F85" s="38"/>
      <c r="G85" s="38"/>
      <c r="H85" s="38"/>
      <c r="I85" s="38"/>
      <c r="J85" s="38"/>
      <c r="K85" s="38"/>
    </row>
    <row r="86" spans="2:11">
      <c r="B86" s="198"/>
      <c r="C86" s="38"/>
      <c r="D86" s="38"/>
      <c r="E86" s="38"/>
      <c r="F86" s="38"/>
      <c r="G86" s="38"/>
      <c r="H86" s="38"/>
      <c r="I86" s="38"/>
      <c r="J86" s="38"/>
      <c r="K86" s="38"/>
    </row>
    <row r="87" spans="2:11">
      <c r="B87" s="198"/>
      <c r="C87" s="38"/>
      <c r="D87" s="38"/>
      <c r="E87" s="38"/>
      <c r="F87" s="38"/>
      <c r="G87" s="38"/>
      <c r="H87" s="38"/>
      <c r="I87" s="38"/>
      <c r="J87" s="38"/>
      <c r="K87" s="38"/>
    </row>
    <row r="88" spans="2:11">
      <c r="B88" s="198"/>
      <c r="C88" s="38"/>
      <c r="D88" s="38"/>
      <c r="E88" s="38"/>
      <c r="F88" s="38"/>
      <c r="G88" s="38"/>
      <c r="H88" s="38"/>
      <c r="I88" s="38"/>
      <c r="J88" s="38"/>
      <c r="K88" s="38"/>
    </row>
    <row r="89" spans="2:11">
      <c r="B89" s="198"/>
      <c r="C89" s="38"/>
      <c r="D89" s="38"/>
      <c r="E89" s="38"/>
      <c r="F89" s="38"/>
      <c r="G89" s="38"/>
      <c r="H89" s="38"/>
      <c r="I89" s="38"/>
      <c r="J89" s="38"/>
      <c r="K89" s="38"/>
    </row>
    <row r="90" spans="2:11">
      <c r="B90" s="198"/>
      <c r="C90" s="38"/>
      <c r="D90" s="38"/>
      <c r="E90" s="38"/>
      <c r="F90" s="38"/>
      <c r="G90" s="38"/>
      <c r="H90" s="38"/>
      <c r="I90" s="38"/>
      <c r="J90" s="38"/>
      <c r="K90" s="38"/>
    </row>
    <row r="91" spans="2:11">
      <c r="B91" s="198"/>
      <c r="C91" s="38"/>
      <c r="D91" s="38"/>
      <c r="E91" s="38"/>
      <c r="F91" s="38"/>
      <c r="G91" s="38"/>
      <c r="H91" s="38"/>
      <c r="I91" s="38"/>
      <c r="J91" s="38"/>
      <c r="K91" s="38"/>
    </row>
    <row r="92" spans="2:11">
      <c r="B92" s="198"/>
      <c r="C92" s="38"/>
      <c r="D92" s="38"/>
      <c r="E92" s="38"/>
      <c r="F92" s="38"/>
      <c r="G92" s="38"/>
      <c r="H92" s="38"/>
      <c r="I92" s="38"/>
      <c r="J92" s="38"/>
      <c r="K92" s="38"/>
    </row>
    <row r="93" spans="2:11">
      <c r="B93" s="198"/>
      <c r="C93" s="38"/>
      <c r="D93" s="38"/>
      <c r="E93" s="38"/>
      <c r="F93" s="38"/>
      <c r="G93" s="38"/>
      <c r="H93" s="38"/>
      <c r="I93" s="38"/>
      <c r="J93" s="38"/>
      <c r="K93" s="38"/>
    </row>
    <row r="94" spans="2:11">
      <c r="B94" s="198"/>
      <c r="C94" s="38"/>
      <c r="D94" s="38"/>
      <c r="E94" s="38"/>
      <c r="F94" s="38"/>
      <c r="G94" s="38"/>
      <c r="H94" s="38"/>
      <c r="I94" s="38"/>
      <c r="J94" s="38"/>
      <c r="K94" s="38"/>
    </row>
    <row r="95" spans="2:11">
      <c r="B95" s="198"/>
      <c r="C95" s="38"/>
      <c r="D95" s="38"/>
      <c r="E95" s="38"/>
      <c r="F95" s="38"/>
      <c r="G95" s="38"/>
      <c r="H95" s="38"/>
      <c r="I95" s="38"/>
      <c r="J95" s="38"/>
      <c r="K95" s="38"/>
    </row>
    <row r="96" spans="2:11">
      <c r="B96" s="198"/>
      <c r="C96" s="38"/>
      <c r="D96" s="38"/>
      <c r="E96" s="38"/>
      <c r="F96" s="38"/>
      <c r="G96" s="38"/>
      <c r="H96" s="38"/>
      <c r="I96" s="38"/>
      <c r="J96" s="38"/>
      <c r="K96" s="38"/>
    </row>
    <row r="97" spans="2:11">
      <c r="B97" s="198"/>
      <c r="C97" s="38"/>
      <c r="D97" s="38"/>
      <c r="E97" s="38"/>
      <c r="F97" s="38"/>
      <c r="G97" s="38"/>
      <c r="H97" s="38"/>
      <c r="I97" s="38"/>
      <c r="J97" s="38"/>
      <c r="K97" s="38"/>
    </row>
    <row r="98" spans="2:11">
      <c r="B98" s="198"/>
      <c r="C98" s="38"/>
      <c r="D98" s="38"/>
      <c r="E98" s="38"/>
      <c r="F98" s="38"/>
      <c r="G98" s="38"/>
      <c r="H98" s="38"/>
      <c r="I98" s="38"/>
      <c r="J98" s="38"/>
      <c r="K98" s="38"/>
    </row>
    <row r="99" spans="2:11">
      <c r="B99" s="198"/>
      <c r="C99" s="38"/>
      <c r="D99" s="38"/>
      <c r="E99" s="38"/>
      <c r="F99" s="38"/>
      <c r="G99" s="38"/>
      <c r="H99" s="38"/>
      <c r="I99" s="38"/>
      <c r="J99" s="38"/>
      <c r="K99" s="38"/>
    </row>
    <row r="100" spans="2:11">
      <c r="B100" s="198"/>
      <c r="C100" s="38"/>
      <c r="D100" s="38"/>
      <c r="E100" s="38"/>
      <c r="F100" s="38"/>
      <c r="G100" s="38"/>
      <c r="H100" s="38"/>
      <c r="I100" s="38"/>
      <c r="J100" s="38"/>
      <c r="K100" s="38"/>
    </row>
    <row r="101" spans="2:11">
      <c r="B101" s="198"/>
      <c r="C101" s="38"/>
      <c r="D101" s="38"/>
      <c r="E101" s="38"/>
      <c r="F101" s="38"/>
      <c r="G101" s="38"/>
      <c r="H101" s="38"/>
      <c r="I101" s="38"/>
      <c r="J101" s="38"/>
      <c r="K101" s="38"/>
    </row>
    <row r="102" spans="2:11">
      <c r="B102" s="198"/>
      <c r="C102" s="38"/>
      <c r="D102" s="38"/>
      <c r="E102" s="38"/>
      <c r="F102" s="38"/>
      <c r="G102" s="38"/>
      <c r="H102" s="38"/>
      <c r="I102" s="38"/>
      <c r="J102" s="38"/>
      <c r="K102" s="38"/>
    </row>
    <row r="103" spans="2:11">
      <c r="B103" s="198"/>
      <c r="C103" s="38"/>
      <c r="D103" s="38"/>
      <c r="E103" s="38"/>
      <c r="F103" s="38"/>
      <c r="G103" s="38"/>
      <c r="H103" s="38"/>
      <c r="I103" s="38"/>
      <c r="J103" s="38"/>
      <c r="K103" s="38"/>
    </row>
    <row r="104" spans="2:11">
      <c r="B104" s="198"/>
      <c r="C104" s="38"/>
      <c r="D104" s="38"/>
      <c r="E104" s="38"/>
      <c r="F104" s="38"/>
      <c r="G104" s="38"/>
      <c r="H104" s="38"/>
      <c r="I104" s="38"/>
      <c r="J104" s="38"/>
      <c r="K104" s="38"/>
    </row>
    <row r="105" spans="2:11">
      <c r="B105" s="198"/>
      <c r="C105" s="38"/>
      <c r="D105" s="38"/>
      <c r="E105" s="38"/>
      <c r="F105" s="38"/>
      <c r="G105" s="38"/>
      <c r="H105" s="38"/>
      <c r="I105" s="38"/>
      <c r="J105" s="38"/>
      <c r="K105" s="38"/>
    </row>
    <row r="106" spans="2:11">
      <c r="B106" s="198"/>
      <c r="C106" s="38"/>
      <c r="D106" s="38"/>
      <c r="E106" s="38"/>
      <c r="F106" s="38"/>
      <c r="G106" s="38"/>
      <c r="H106" s="38"/>
      <c r="I106" s="38"/>
      <c r="J106" s="38"/>
      <c r="K106" s="38"/>
    </row>
    <row r="107" spans="2:11">
      <c r="B107" s="198"/>
      <c r="C107" s="38"/>
      <c r="D107" s="38"/>
      <c r="E107" s="38"/>
      <c r="F107" s="38"/>
      <c r="G107" s="38"/>
      <c r="H107" s="38"/>
      <c r="I107" s="38"/>
      <c r="J107" s="38"/>
      <c r="K107" s="38"/>
    </row>
    <row r="108" spans="2:11">
      <c r="B108" s="198"/>
      <c r="C108" s="38"/>
      <c r="D108" s="38"/>
      <c r="E108" s="38"/>
      <c r="F108" s="38"/>
      <c r="G108" s="38"/>
      <c r="H108" s="38"/>
      <c r="I108" s="38"/>
      <c r="J108" s="38"/>
      <c r="K108" s="38"/>
    </row>
    <row r="109" spans="2:11">
      <c r="B109" s="198"/>
      <c r="C109" s="38"/>
      <c r="D109" s="38"/>
      <c r="E109" s="38"/>
      <c r="F109" s="38"/>
      <c r="G109" s="38"/>
      <c r="H109" s="38"/>
      <c r="I109" s="38"/>
      <c r="J109" s="38"/>
      <c r="K109" s="38"/>
    </row>
    <row r="110" spans="2:11">
      <c r="B110" s="198"/>
      <c r="C110" s="38"/>
      <c r="D110" s="38"/>
      <c r="E110" s="38"/>
      <c r="F110" s="38"/>
      <c r="G110" s="38"/>
      <c r="H110" s="38"/>
      <c r="I110" s="38"/>
      <c r="J110" s="38"/>
      <c r="K110" s="38"/>
    </row>
    <row r="111" spans="2:11">
      <c r="B111" s="198"/>
      <c r="C111" s="38"/>
      <c r="D111" s="38"/>
      <c r="E111" s="38"/>
      <c r="F111" s="38"/>
      <c r="G111" s="38"/>
      <c r="H111" s="38"/>
      <c r="I111" s="38"/>
      <c r="J111" s="38"/>
      <c r="K111" s="38"/>
    </row>
    <row r="112" spans="2:11">
      <c r="B112" s="198"/>
      <c r="C112" s="38"/>
      <c r="D112" s="38"/>
      <c r="E112" s="38"/>
      <c r="F112" s="38"/>
      <c r="G112" s="38"/>
      <c r="H112" s="38"/>
      <c r="I112" s="38"/>
      <c r="J112" s="38"/>
      <c r="K112" s="38"/>
    </row>
    <row r="113" spans="2:11">
      <c r="B113" s="198"/>
      <c r="C113" s="38"/>
      <c r="D113" s="38"/>
      <c r="E113" s="38"/>
      <c r="F113" s="38"/>
      <c r="G113" s="38"/>
      <c r="H113" s="38"/>
      <c r="I113" s="38"/>
      <c r="J113" s="38"/>
      <c r="K113" s="38"/>
    </row>
    <row r="114" spans="2:11">
      <c r="B114" s="198"/>
      <c r="C114" s="38"/>
      <c r="D114" s="38"/>
      <c r="E114" s="38"/>
      <c r="F114" s="38"/>
      <c r="G114" s="38"/>
      <c r="H114" s="38"/>
      <c r="I114" s="38"/>
      <c r="J114" s="38"/>
      <c r="K114" s="38"/>
    </row>
    <row r="115" spans="2:11">
      <c r="B115" s="198"/>
      <c r="C115" s="38"/>
      <c r="D115" s="38"/>
      <c r="E115" s="38"/>
      <c r="F115" s="38"/>
      <c r="G115" s="38"/>
      <c r="H115" s="38"/>
      <c r="I115" s="38"/>
      <c r="J115" s="38"/>
      <c r="K115" s="38"/>
    </row>
    <row r="116" spans="2:11">
      <c r="B116" s="198"/>
      <c r="C116" s="38"/>
      <c r="D116" s="38"/>
      <c r="E116" s="38"/>
      <c r="F116" s="38"/>
      <c r="G116" s="38"/>
      <c r="H116" s="38"/>
      <c r="I116" s="38"/>
      <c r="J116" s="38"/>
      <c r="K116" s="38"/>
    </row>
    <row r="117" spans="2:11">
      <c r="B117" s="198"/>
      <c r="C117" s="38"/>
      <c r="D117" s="38"/>
      <c r="E117" s="38"/>
      <c r="F117" s="38"/>
      <c r="G117" s="38"/>
      <c r="H117" s="38"/>
      <c r="I117" s="38"/>
      <c r="J117" s="38"/>
      <c r="K117" s="38"/>
    </row>
    <row r="118" spans="2:11">
      <c r="B118" s="198"/>
      <c r="C118" s="38"/>
      <c r="D118" s="38"/>
      <c r="E118" s="38"/>
      <c r="F118" s="38"/>
      <c r="G118" s="38"/>
      <c r="H118" s="38"/>
      <c r="I118" s="38"/>
      <c r="J118" s="38"/>
      <c r="K118" s="38"/>
    </row>
    <row r="119" spans="2:11">
      <c r="B119" s="198"/>
      <c r="C119" s="38"/>
      <c r="D119" s="38"/>
      <c r="E119" s="38"/>
      <c r="F119" s="38"/>
      <c r="G119" s="38"/>
      <c r="H119" s="38"/>
      <c r="I119" s="38"/>
      <c r="J119" s="38"/>
      <c r="K119" s="38"/>
    </row>
    <row r="120" spans="2:11">
      <c r="B120" s="198"/>
      <c r="C120" s="38"/>
      <c r="D120" s="38"/>
      <c r="E120" s="38"/>
      <c r="F120" s="38"/>
      <c r="G120" s="38"/>
      <c r="H120" s="38"/>
      <c r="I120" s="38"/>
      <c r="J120" s="38"/>
      <c r="K120" s="38"/>
    </row>
    <row r="121" spans="2:11">
      <c r="B121" s="198"/>
      <c r="C121" s="38"/>
      <c r="D121" s="38"/>
      <c r="E121" s="38"/>
      <c r="F121" s="38"/>
      <c r="G121" s="38"/>
      <c r="H121" s="38"/>
      <c r="I121" s="38"/>
      <c r="J121" s="38"/>
      <c r="K121" s="38"/>
    </row>
    <row r="122" spans="2:11">
      <c r="B122" s="198"/>
      <c r="C122" s="38"/>
      <c r="D122" s="38"/>
      <c r="E122" s="38"/>
      <c r="F122" s="38"/>
      <c r="G122" s="38"/>
      <c r="H122" s="38"/>
      <c r="I122" s="38"/>
      <c r="J122" s="38"/>
      <c r="K122" s="38"/>
    </row>
    <row r="123" spans="2:11">
      <c r="B123" s="198"/>
      <c r="C123" s="38"/>
      <c r="D123" s="38"/>
      <c r="E123" s="38"/>
      <c r="F123" s="38"/>
      <c r="G123" s="38"/>
      <c r="H123" s="38"/>
      <c r="I123" s="38"/>
      <c r="J123" s="38"/>
      <c r="K123" s="38"/>
    </row>
    <row r="124" spans="2:11">
      <c r="B124" s="198"/>
      <c r="C124" s="38"/>
      <c r="D124" s="38"/>
      <c r="E124" s="38"/>
      <c r="F124" s="38"/>
      <c r="G124" s="38"/>
      <c r="H124" s="38"/>
      <c r="I124" s="38"/>
      <c r="J124" s="38"/>
      <c r="K124" s="38"/>
    </row>
    <row r="125" spans="2:11">
      <c r="B125" s="198"/>
      <c r="C125" s="38"/>
      <c r="D125" s="38"/>
      <c r="E125" s="38"/>
      <c r="F125" s="38"/>
      <c r="G125" s="38"/>
      <c r="H125" s="38"/>
      <c r="I125" s="38"/>
      <c r="J125" s="38"/>
      <c r="K125" s="38"/>
    </row>
    <row r="126" spans="2:11">
      <c r="B126" s="198"/>
      <c r="C126" s="38"/>
      <c r="D126" s="38"/>
      <c r="E126" s="38"/>
      <c r="F126" s="38"/>
      <c r="G126" s="38"/>
      <c r="H126" s="38"/>
      <c r="I126" s="38"/>
      <c r="J126" s="38"/>
      <c r="K126" s="38"/>
    </row>
    <row r="127" spans="2:11">
      <c r="B127" s="198"/>
      <c r="C127" s="38"/>
      <c r="D127" s="38"/>
      <c r="E127" s="38"/>
      <c r="F127" s="38"/>
      <c r="G127" s="38"/>
      <c r="H127" s="38"/>
      <c r="I127" s="38"/>
      <c r="J127" s="38"/>
      <c r="K127" s="38"/>
    </row>
    <row r="128" spans="2:11">
      <c r="B128" s="198"/>
      <c r="C128" s="38"/>
      <c r="D128" s="38"/>
      <c r="E128" s="38"/>
      <c r="F128" s="38"/>
      <c r="G128" s="38"/>
      <c r="H128" s="38"/>
      <c r="I128" s="38"/>
      <c r="J128" s="38"/>
      <c r="K128" s="38"/>
    </row>
    <row r="129" spans="2:11">
      <c r="B129" s="198"/>
      <c r="C129" s="38"/>
      <c r="D129" s="38"/>
      <c r="E129" s="38"/>
      <c r="F129" s="38"/>
      <c r="G129" s="38"/>
      <c r="H129" s="38"/>
      <c r="I129" s="38"/>
      <c r="J129" s="38"/>
      <c r="K129" s="38"/>
    </row>
    <row r="130" spans="2:11">
      <c r="B130" s="198"/>
      <c r="C130" s="38"/>
      <c r="D130" s="38"/>
      <c r="E130" s="38"/>
      <c r="F130" s="38"/>
      <c r="G130" s="38"/>
      <c r="H130" s="38"/>
      <c r="I130" s="38"/>
      <c r="J130" s="38"/>
      <c r="K130" s="38"/>
    </row>
    <row r="131" spans="2:11">
      <c r="B131" s="198"/>
      <c r="C131" s="38"/>
      <c r="D131" s="38"/>
      <c r="E131" s="38"/>
      <c r="F131" s="38"/>
      <c r="G131" s="38"/>
      <c r="H131" s="38"/>
      <c r="I131" s="38"/>
      <c r="J131" s="38"/>
      <c r="K131" s="38"/>
    </row>
    <row r="132" spans="2:11">
      <c r="B132" s="198"/>
      <c r="C132" s="38"/>
      <c r="D132" s="38"/>
      <c r="E132" s="38"/>
      <c r="F132" s="38"/>
      <c r="G132" s="38"/>
      <c r="H132" s="38"/>
      <c r="I132" s="38"/>
      <c r="J132" s="38"/>
      <c r="K132" s="38"/>
    </row>
    <row r="133" spans="2:11">
      <c r="B133" s="198"/>
      <c r="C133" s="38"/>
      <c r="D133" s="38"/>
      <c r="E133" s="38"/>
      <c r="F133" s="38"/>
      <c r="G133" s="38"/>
      <c r="H133" s="38"/>
      <c r="I133" s="38"/>
      <c r="J133" s="38"/>
      <c r="K133" s="38"/>
    </row>
    <row r="134" spans="2:11">
      <c r="B134" s="198"/>
      <c r="C134" s="38"/>
      <c r="D134" s="38"/>
      <c r="E134" s="38"/>
      <c r="F134" s="38"/>
      <c r="G134" s="38"/>
      <c r="H134" s="38"/>
      <c r="I134" s="38"/>
      <c r="J134" s="38"/>
      <c r="K134" s="38"/>
    </row>
    <row r="135" spans="2:11">
      <c r="B135" s="198"/>
      <c r="C135" s="38"/>
      <c r="D135" s="38"/>
      <c r="E135" s="38"/>
      <c r="F135" s="38"/>
      <c r="G135" s="38"/>
      <c r="H135" s="38"/>
      <c r="I135" s="38"/>
      <c r="J135" s="38"/>
      <c r="K135" s="38"/>
    </row>
    <row r="136" spans="2:11">
      <c r="B136" s="198"/>
      <c r="C136" s="38"/>
      <c r="D136" s="38"/>
      <c r="E136" s="38"/>
      <c r="F136" s="38"/>
      <c r="G136" s="38"/>
      <c r="H136" s="38"/>
      <c r="I136" s="38"/>
      <c r="J136" s="38"/>
      <c r="K136" s="38"/>
    </row>
    <row r="137" spans="2:11">
      <c r="B137" s="198"/>
      <c r="C137" s="38"/>
      <c r="D137" s="38"/>
      <c r="E137" s="38"/>
      <c r="F137" s="38"/>
      <c r="G137" s="38"/>
      <c r="H137" s="38"/>
      <c r="I137" s="38"/>
      <c r="J137" s="38"/>
      <c r="K137" s="38"/>
    </row>
    <row r="138" spans="2:11">
      <c r="B138" s="198"/>
      <c r="C138" s="38"/>
      <c r="D138" s="38"/>
      <c r="E138" s="38"/>
      <c r="F138" s="38"/>
      <c r="G138" s="38"/>
      <c r="H138" s="38"/>
      <c r="I138" s="38"/>
      <c r="J138" s="38"/>
      <c r="K138" s="38"/>
    </row>
    <row r="139" spans="2:11">
      <c r="B139" s="198"/>
      <c r="C139" s="38"/>
      <c r="D139" s="38"/>
      <c r="E139" s="38"/>
      <c r="F139" s="38"/>
      <c r="G139" s="38"/>
      <c r="H139" s="38"/>
      <c r="I139" s="38"/>
      <c r="J139" s="38"/>
      <c r="K139" s="38"/>
    </row>
    <row r="140" spans="2:11">
      <c r="B140" s="198"/>
      <c r="C140" s="38"/>
      <c r="D140" s="38"/>
      <c r="E140" s="38"/>
      <c r="F140" s="38"/>
      <c r="G140" s="38"/>
      <c r="H140" s="38"/>
      <c r="I140" s="38"/>
      <c r="J140" s="38"/>
      <c r="K140" s="38"/>
    </row>
    <row r="141" spans="2:11">
      <c r="B141" s="198"/>
      <c r="C141" s="38"/>
      <c r="D141" s="38"/>
      <c r="E141" s="38"/>
      <c r="F141" s="38"/>
      <c r="G141" s="38"/>
      <c r="H141" s="38"/>
      <c r="I141" s="38"/>
      <c r="J141" s="38"/>
      <c r="K141" s="38"/>
    </row>
    <row r="142" spans="2:11">
      <c r="B142" s="198"/>
      <c r="C142" s="38"/>
      <c r="D142" s="38"/>
      <c r="E142" s="38"/>
      <c r="F142" s="38"/>
      <c r="G142" s="38"/>
      <c r="H142" s="38"/>
      <c r="I142" s="38"/>
      <c r="J142" s="38"/>
      <c r="K142" s="38"/>
    </row>
    <row r="143" spans="2:11">
      <c r="B143" s="198"/>
      <c r="C143" s="38"/>
      <c r="D143" s="38"/>
      <c r="E143" s="38"/>
      <c r="F143" s="38"/>
      <c r="G143" s="38"/>
      <c r="H143" s="38"/>
      <c r="I143" s="38"/>
      <c r="J143" s="38"/>
      <c r="K143" s="38"/>
    </row>
    <row r="144" spans="2:11">
      <c r="B144" s="198"/>
      <c r="C144" s="38"/>
      <c r="D144" s="38"/>
      <c r="E144" s="38"/>
      <c r="F144" s="38"/>
      <c r="G144" s="38"/>
      <c r="H144" s="38"/>
      <c r="I144" s="38"/>
      <c r="J144" s="38"/>
      <c r="K144" s="38"/>
    </row>
    <row r="145" spans="2:11">
      <c r="B145" s="198"/>
      <c r="C145" s="38"/>
      <c r="D145" s="38"/>
      <c r="E145" s="38"/>
      <c r="F145" s="38"/>
      <c r="G145" s="38"/>
      <c r="H145" s="38"/>
      <c r="I145" s="38"/>
      <c r="J145" s="38"/>
      <c r="K145" s="38"/>
    </row>
    <row r="146" spans="2:11">
      <c r="B146" s="198"/>
      <c r="C146" s="38"/>
      <c r="D146" s="38"/>
      <c r="E146" s="38"/>
      <c r="F146" s="38"/>
      <c r="G146" s="38"/>
      <c r="H146" s="38"/>
      <c r="I146" s="38"/>
      <c r="J146" s="38"/>
      <c r="K146" s="38"/>
    </row>
    <row r="147" spans="2:11">
      <c r="B147" s="198"/>
      <c r="C147" s="38"/>
      <c r="D147" s="38"/>
      <c r="E147" s="38"/>
      <c r="F147" s="38"/>
      <c r="G147" s="38"/>
      <c r="H147" s="38"/>
      <c r="I147" s="38"/>
      <c r="J147" s="38"/>
      <c r="K147" s="38"/>
    </row>
    <row r="148" spans="2:11">
      <c r="B148" s="198"/>
      <c r="C148" s="38"/>
      <c r="D148" s="38"/>
      <c r="E148" s="38"/>
      <c r="F148" s="38"/>
      <c r="G148" s="38"/>
      <c r="H148" s="38"/>
      <c r="I148" s="38"/>
      <c r="J148" s="38"/>
      <c r="K148" s="38"/>
    </row>
    <row r="149" spans="2:11">
      <c r="B149" s="198"/>
      <c r="C149" s="38"/>
      <c r="D149" s="38"/>
      <c r="E149" s="38"/>
      <c r="F149" s="38"/>
      <c r="G149" s="38"/>
      <c r="H149" s="38"/>
      <c r="I149" s="38"/>
      <c r="J149" s="38"/>
      <c r="K149" s="38"/>
    </row>
    <row r="150" spans="2:11">
      <c r="B150" s="198"/>
      <c r="C150" s="38"/>
      <c r="D150" s="38"/>
      <c r="E150" s="38"/>
      <c r="F150" s="38"/>
      <c r="G150" s="38"/>
      <c r="H150" s="38"/>
      <c r="I150" s="38"/>
      <c r="J150" s="38"/>
      <c r="K150" s="38"/>
    </row>
    <row r="151" spans="2:11">
      <c r="B151" s="198"/>
      <c r="C151" s="38"/>
      <c r="D151" s="38"/>
      <c r="E151" s="38"/>
      <c r="F151" s="38"/>
      <c r="G151" s="38"/>
      <c r="H151" s="38"/>
      <c r="I151" s="38"/>
      <c r="J151" s="38"/>
      <c r="K151" s="38"/>
    </row>
    <row r="152" spans="2:11">
      <c r="B152" s="198"/>
      <c r="C152" s="38"/>
      <c r="D152" s="38"/>
      <c r="E152" s="38"/>
      <c r="F152" s="38"/>
      <c r="G152" s="38"/>
      <c r="H152" s="38"/>
      <c r="I152" s="38"/>
      <c r="J152" s="38"/>
      <c r="K152" s="38"/>
    </row>
    <row r="153" spans="2:11">
      <c r="B153" s="198"/>
      <c r="C153" s="38"/>
      <c r="D153" s="38"/>
      <c r="E153" s="38"/>
      <c r="F153" s="38"/>
      <c r="G153" s="38"/>
      <c r="H153" s="38"/>
      <c r="I153" s="38"/>
      <c r="J153" s="38"/>
      <c r="K153" s="38"/>
    </row>
    <row r="154" spans="2:11">
      <c r="B154" s="198"/>
      <c r="C154" s="38"/>
      <c r="D154" s="38"/>
      <c r="E154" s="38"/>
      <c r="F154" s="38"/>
      <c r="G154" s="38"/>
      <c r="H154" s="38"/>
      <c r="I154" s="38"/>
      <c r="J154" s="38"/>
      <c r="K154" s="38"/>
    </row>
    <row r="155" spans="2:11">
      <c r="B155" s="198"/>
      <c r="C155" s="38"/>
      <c r="D155" s="38"/>
      <c r="E155" s="38"/>
      <c r="F155" s="38"/>
      <c r="G155" s="38"/>
      <c r="H155" s="38"/>
      <c r="I155" s="38"/>
      <c r="J155" s="38"/>
      <c r="K155" s="38"/>
    </row>
    <row r="156" spans="2:11">
      <c r="B156" s="198"/>
      <c r="C156" s="38"/>
      <c r="D156" s="38"/>
      <c r="E156" s="38"/>
      <c r="F156" s="38"/>
      <c r="G156" s="38"/>
      <c r="H156" s="38"/>
      <c r="I156" s="38"/>
      <c r="J156" s="38"/>
      <c r="K156" s="38"/>
    </row>
    <row r="157" spans="2:11">
      <c r="B157" s="198"/>
      <c r="C157" s="38"/>
      <c r="D157" s="38"/>
      <c r="E157" s="38"/>
      <c r="F157" s="38"/>
      <c r="G157" s="38"/>
      <c r="H157" s="38"/>
      <c r="I157" s="38"/>
      <c r="J157" s="38"/>
      <c r="K157" s="38"/>
    </row>
    <row r="158" spans="2:11">
      <c r="B158" s="198"/>
      <c r="C158" s="38"/>
      <c r="D158" s="38"/>
      <c r="E158" s="38"/>
      <c r="F158" s="38"/>
      <c r="G158" s="38"/>
      <c r="H158" s="38"/>
      <c r="I158" s="38"/>
      <c r="J158" s="38"/>
      <c r="K158" s="38"/>
    </row>
    <row r="159" spans="2:11">
      <c r="B159" s="198"/>
      <c r="C159" s="38"/>
      <c r="D159" s="38"/>
      <c r="E159" s="38"/>
      <c r="F159" s="38"/>
      <c r="G159" s="38"/>
      <c r="H159" s="38"/>
      <c r="I159" s="38"/>
      <c r="J159" s="38"/>
      <c r="K159" s="38"/>
    </row>
    <row r="160" spans="2:11">
      <c r="B160" s="198"/>
      <c r="C160" s="38"/>
      <c r="D160" s="38"/>
      <c r="E160" s="38"/>
      <c r="F160" s="38"/>
      <c r="G160" s="38"/>
      <c r="H160" s="38"/>
      <c r="I160" s="38"/>
      <c r="J160" s="38"/>
      <c r="K160" s="38"/>
    </row>
    <row r="161" spans="2:11">
      <c r="B161" s="198"/>
      <c r="C161" s="38"/>
      <c r="D161" s="38"/>
      <c r="E161" s="38"/>
      <c r="F161" s="38"/>
      <c r="G161" s="38"/>
      <c r="H161" s="38"/>
      <c r="I161" s="38"/>
      <c r="J161" s="38"/>
      <c r="K161" s="38"/>
    </row>
    <row r="162" spans="2:11">
      <c r="B162" s="198"/>
      <c r="C162" s="38"/>
      <c r="D162" s="38"/>
      <c r="E162" s="38"/>
      <c r="F162" s="38"/>
      <c r="G162" s="38"/>
      <c r="H162" s="38"/>
      <c r="I162" s="38"/>
      <c r="J162" s="38"/>
      <c r="K162" s="38"/>
    </row>
    <row r="163" spans="2:11">
      <c r="B163" s="198"/>
      <c r="C163" s="38"/>
      <c r="D163" s="38"/>
      <c r="E163" s="38"/>
      <c r="F163" s="38"/>
      <c r="G163" s="38"/>
      <c r="H163" s="38"/>
      <c r="I163" s="38"/>
      <c r="J163" s="38"/>
      <c r="K163" s="38"/>
    </row>
    <row r="164" spans="2:11">
      <c r="B164" s="198"/>
      <c r="C164" s="38"/>
      <c r="D164" s="38"/>
      <c r="E164" s="38"/>
      <c r="F164" s="38"/>
      <c r="G164" s="38"/>
      <c r="H164" s="38"/>
      <c r="I164" s="38"/>
      <c r="J164" s="38"/>
      <c r="K164" s="38"/>
    </row>
    <row r="165" spans="2:11">
      <c r="B165" s="198"/>
      <c r="C165" s="38"/>
      <c r="D165" s="38"/>
      <c r="E165" s="38"/>
      <c r="F165" s="38"/>
      <c r="G165" s="38"/>
      <c r="H165" s="38"/>
      <c r="I165" s="38"/>
      <c r="J165" s="38"/>
      <c r="K165" s="38"/>
    </row>
    <row r="166" spans="2:11">
      <c r="B166" s="198"/>
      <c r="C166" s="38"/>
      <c r="D166" s="38"/>
      <c r="E166" s="38"/>
      <c r="F166" s="38"/>
      <c r="G166" s="38"/>
      <c r="H166" s="38"/>
      <c r="I166" s="38"/>
      <c r="J166" s="38"/>
      <c r="K166" s="38"/>
    </row>
    <row r="167" spans="2:11">
      <c r="B167" s="198"/>
      <c r="C167" s="38"/>
      <c r="D167" s="38"/>
      <c r="E167" s="38"/>
      <c r="F167" s="38"/>
      <c r="G167" s="38"/>
      <c r="H167" s="38"/>
      <c r="I167" s="38"/>
      <c r="J167" s="38"/>
      <c r="K167" s="38"/>
    </row>
    <row r="168" spans="2:11">
      <c r="B168" s="198"/>
      <c r="C168" s="38"/>
      <c r="D168" s="38"/>
      <c r="E168" s="38"/>
      <c r="F168" s="38"/>
      <c r="G168" s="38"/>
      <c r="H168" s="38"/>
      <c r="I168" s="38"/>
      <c r="J168" s="38"/>
      <c r="K168" s="38"/>
    </row>
    <row r="169" spans="2:11">
      <c r="B169" s="198"/>
      <c r="C169" s="38"/>
      <c r="D169" s="38"/>
      <c r="E169" s="38"/>
      <c r="F169" s="38"/>
      <c r="G169" s="38"/>
      <c r="H169" s="38"/>
      <c r="I169" s="38"/>
      <c r="J169" s="38"/>
      <c r="K169" s="38"/>
    </row>
    <row r="170" spans="2:11">
      <c r="B170" s="198"/>
      <c r="C170" s="38"/>
      <c r="D170" s="38"/>
      <c r="E170" s="38"/>
      <c r="F170" s="38"/>
      <c r="G170" s="38"/>
      <c r="H170" s="38"/>
      <c r="I170" s="38"/>
      <c r="J170" s="38"/>
      <c r="K170" s="38"/>
    </row>
    <row r="171" spans="2:11">
      <c r="B171" s="198"/>
      <c r="C171" s="38"/>
      <c r="D171" s="38"/>
      <c r="E171" s="38"/>
      <c r="F171" s="38"/>
      <c r="G171" s="38"/>
      <c r="H171" s="38"/>
      <c r="I171" s="38"/>
      <c r="J171" s="38"/>
      <c r="K171" s="38"/>
    </row>
    <row r="172" spans="2:11">
      <c r="B172" s="198"/>
      <c r="C172" s="38"/>
      <c r="D172" s="38"/>
      <c r="E172" s="38"/>
      <c r="F172" s="38"/>
      <c r="G172" s="38"/>
      <c r="H172" s="38"/>
      <c r="I172" s="38"/>
      <c r="J172" s="38"/>
      <c r="K172" s="38"/>
    </row>
    <row r="173" spans="2:11">
      <c r="B173" s="198"/>
      <c r="C173" s="38"/>
      <c r="D173" s="38"/>
      <c r="E173" s="38"/>
      <c r="F173" s="38"/>
      <c r="G173" s="38"/>
      <c r="H173" s="38"/>
      <c r="I173" s="38"/>
      <c r="J173" s="38"/>
      <c r="K173" s="38"/>
    </row>
    <row r="174" spans="2:11">
      <c r="B174" s="198"/>
      <c r="C174" s="38"/>
      <c r="D174" s="38"/>
      <c r="E174" s="38"/>
      <c r="F174" s="38"/>
      <c r="G174" s="38"/>
      <c r="H174" s="38"/>
      <c r="I174" s="38"/>
      <c r="J174" s="38"/>
      <c r="K174" s="38"/>
    </row>
    <row r="175" spans="2:11">
      <c r="B175" s="198"/>
      <c r="C175" s="38"/>
      <c r="D175" s="38"/>
      <c r="E175" s="38"/>
      <c r="F175" s="38"/>
      <c r="G175" s="38"/>
      <c r="H175" s="38"/>
      <c r="I175" s="38"/>
      <c r="J175" s="38"/>
      <c r="K175" s="38"/>
    </row>
    <row r="176" spans="2:11">
      <c r="B176" s="198"/>
      <c r="C176" s="38"/>
      <c r="D176" s="38"/>
      <c r="E176" s="38"/>
      <c r="F176" s="38"/>
      <c r="G176" s="38"/>
      <c r="H176" s="38"/>
      <c r="I176" s="38"/>
      <c r="J176" s="38"/>
      <c r="K176" s="38"/>
    </row>
    <row r="177" spans="2:11">
      <c r="B177" s="198"/>
      <c r="C177" s="38"/>
      <c r="D177" s="38"/>
      <c r="E177" s="38"/>
      <c r="F177" s="38"/>
      <c r="G177" s="38"/>
      <c r="H177" s="38"/>
      <c r="I177" s="38"/>
      <c r="J177" s="38"/>
      <c r="K177" s="38"/>
    </row>
    <row r="178" spans="2:11">
      <c r="B178" s="198"/>
      <c r="C178" s="38"/>
      <c r="D178" s="38"/>
      <c r="E178" s="38"/>
      <c r="F178" s="38"/>
      <c r="G178" s="38"/>
      <c r="H178" s="38"/>
      <c r="I178" s="38"/>
      <c r="J178" s="38"/>
      <c r="K178" s="38"/>
    </row>
    <row r="179" spans="2:11">
      <c r="B179" s="198"/>
      <c r="C179" s="38"/>
      <c r="D179" s="38"/>
      <c r="E179" s="38"/>
      <c r="F179" s="38"/>
      <c r="G179" s="38"/>
      <c r="H179" s="38"/>
      <c r="I179" s="38"/>
      <c r="J179" s="38"/>
      <c r="K179" s="38"/>
    </row>
    <row r="180" spans="2:11">
      <c r="B180" s="198"/>
      <c r="C180" s="38"/>
      <c r="D180" s="38"/>
      <c r="E180" s="38"/>
      <c r="F180" s="38"/>
      <c r="G180" s="38"/>
      <c r="H180" s="38"/>
      <c r="I180" s="38"/>
      <c r="J180" s="38"/>
      <c r="K180" s="38"/>
    </row>
    <row r="181" spans="2:11">
      <c r="B181" s="198"/>
      <c r="C181" s="38"/>
      <c r="D181" s="38"/>
      <c r="E181" s="38"/>
      <c r="F181" s="38"/>
      <c r="G181" s="38"/>
      <c r="H181" s="38"/>
      <c r="I181" s="38"/>
      <c r="J181" s="38"/>
      <c r="K181" s="38"/>
    </row>
    <row r="182" spans="2:11">
      <c r="B182" s="198"/>
      <c r="C182" s="38"/>
      <c r="D182" s="38"/>
      <c r="E182" s="38"/>
      <c r="F182" s="38"/>
      <c r="G182" s="38"/>
      <c r="H182" s="38"/>
      <c r="I182" s="38"/>
      <c r="J182" s="38"/>
      <c r="K182" s="38"/>
    </row>
    <row r="183" spans="2:11">
      <c r="B183" s="198"/>
      <c r="C183" s="38"/>
      <c r="D183" s="38"/>
      <c r="E183" s="38"/>
      <c r="F183" s="38"/>
      <c r="G183" s="38"/>
      <c r="H183" s="38"/>
      <c r="I183" s="38"/>
      <c r="J183" s="38"/>
      <c r="K183" s="38"/>
    </row>
    <row r="184" spans="2:11">
      <c r="B184" s="198"/>
      <c r="C184" s="38"/>
      <c r="D184" s="38"/>
      <c r="E184" s="38"/>
      <c r="F184" s="38"/>
      <c r="G184" s="38"/>
      <c r="H184" s="38"/>
      <c r="I184" s="38"/>
      <c r="J184" s="38"/>
      <c r="K184" s="38"/>
    </row>
    <row r="185" spans="2:11">
      <c r="B185" s="198"/>
      <c r="C185" s="38"/>
      <c r="D185" s="38"/>
      <c r="E185" s="38"/>
      <c r="F185" s="38"/>
      <c r="G185" s="38"/>
      <c r="H185" s="38"/>
      <c r="I185" s="38"/>
      <c r="J185" s="38"/>
      <c r="K185" s="38"/>
    </row>
    <row r="186" spans="2:11">
      <c r="B186" s="198"/>
      <c r="C186" s="38"/>
      <c r="D186" s="38"/>
      <c r="E186" s="38"/>
      <c r="F186" s="38"/>
      <c r="G186" s="38"/>
      <c r="H186" s="38"/>
      <c r="I186" s="38"/>
      <c r="J186" s="38"/>
      <c r="K186" s="38"/>
    </row>
    <row r="187" spans="2:11">
      <c r="B187" s="198"/>
      <c r="C187" s="38"/>
      <c r="D187" s="38"/>
      <c r="E187" s="38"/>
      <c r="F187" s="38"/>
      <c r="G187" s="38"/>
      <c r="H187" s="38"/>
      <c r="I187" s="38"/>
      <c r="J187" s="38"/>
      <c r="K187" s="38"/>
    </row>
    <row r="188" spans="2:11">
      <c r="B188" s="198"/>
      <c r="C188" s="38"/>
      <c r="D188" s="38"/>
      <c r="E188" s="38"/>
      <c r="F188" s="38"/>
      <c r="G188" s="38"/>
      <c r="H188" s="38"/>
      <c r="I188" s="38"/>
      <c r="J188" s="38"/>
      <c r="K188" s="38"/>
    </row>
    <row r="189" spans="2:11">
      <c r="B189" s="198"/>
      <c r="C189" s="38"/>
      <c r="D189" s="38"/>
      <c r="E189" s="38"/>
      <c r="F189" s="38"/>
      <c r="G189" s="38"/>
      <c r="H189" s="38"/>
      <c r="I189" s="38"/>
      <c r="J189" s="38"/>
      <c r="K189" s="38"/>
    </row>
    <row r="190" spans="2:11">
      <c r="B190" s="198"/>
      <c r="C190" s="38"/>
      <c r="D190" s="38"/>
      <c r="E190" s="38"/>
      <c r="F190" s="38"/>
      <c r="G190" s="38"/>
      <c r="H190" s="38"/>
      <c r="I190" s="38"/>
      <c r="J190" s="38"/>
      <c r="K190" s="38"/>
    </row>
    <row r="191" spans="2:11">
      <c r="B191" s="198"/>
      <c r="C191" s="38"/>
      <c r="D191" s="38"/>
      <c r="E191" s="38"/>
      <c r="F191" s="38"/>
      <c r="G191" s="38"/>
      <c r="H191" s="38"/>
      <c r="I191" s="38"/>
      <c r="J191" s="38"/>
      <c r="K191" s="38"/>
    </row>
    <row r="192" spans="2:11">
      <c r="B192" s="198"/>
      <c r="C192" s="38"/>
      <c r="D192" s="38"/>
      <c r="E192" s="38"/>
      <c r="F192" s="38"/>
      <c r="G192" s="38"/>
      <c r="H192" s="38"/>
      <c r="I192" s="38"/>
      <c r="J192" s="38"/>
      <c r="K192" s="38"/>
    </row>
    <row r="193" spans="2:11">
      <c r="B193" s="198"/>
      <c r="C193" s="38"/>
      <c r="D193" s="38"/>
      <c r="E193" s="38"/>
      <c r="F193" s="38"/>
      <c r="G193" s="38"/>
      <c r="H193" s="38"/>
      <c r="I193" s="38"/>
      <c r="J193" s="38"/>
      <c r="K193" s="38"/>
    </row>
    <row r="194" spans="2:11">
      <c r="B194" s="198"/>
      <c r="C194" s="38"/>
      <c r="D194" s="38"/>
      <c r="E194" s="38"/>
      <c r="F194" s="38"/>
      <c r="G194" s="38"/>
      <c r="H194" s="38"/>
      <c r="I194" s="38"/>
      <c r="J194" s="38"/>
      <c r="K194" s="38"/>
    </row>
    <row r="195" spans="2:11">
      <c r="B195" s="198"/>
      <c r="C195" s="38"/>
      <c r="D195" s="38"/>
      <c r="E195" s="38"/>
      <c r="F195" s="38"/>
      <c r="G195" s="38"/>
      <c r="H195" s="38"/>
      <c r="I195" s="38"/>
      <c r="J195" s="38"/>
      <c r="K195" s="38"/>
    </row>
    <row r="196" spans="2:11">
      <c r="B196" s="198"/>
      <c r="C196" s="38"/>
      <c r="D196" s="38"/>
      <c r="E196" s="38"/>
      <c r="F196" s="38"/>
      <c r="G196" s="38"/>
      <c r="H196" s="38"/>
      <c r="I196" s="38"/>
      <c r="J196" s="38"/>
      <c r="K196" s="38"/>
    </row>
    <row r="197" spans="2:11">
      <c r="B197" s="198"/>
      <c r="C197" s="38"/>
      <c r="D197" s="38"/>
      <c r="E197" s="38"/>
      <c r="F197" s="38"/>
      <c r="G197" s="38"/>
      <c r="H197" s="38"/>
      <c r="I197" s="38"/>
      <c r="J197" s="38"/>
      <c r="K197" s="38"/>
    </row>
    <row r="198" spans="2:11">
      <c r="B198" s="198"/>
      <c r="C198" s="38"/>
      <c r="D198" s="38"/>
      <c r="E198" s="38"/>
      <c r="F198" s="38"/>
      <c r="G198" s="38"/>
      <c r="H198" s="38"/>
      <c r="I198" s="38"/>
      <c r="J198" s="38"/>
      <c r="K198" s="38"/>
    </row>
    <row r="199" spans="2:11">
      <c r="B199" s="198"/>
      <c r="C199" s="38"/>
      <c r="D199" s="38"/>
      <c r="E199" s="38"/>
      <c r="F199" s="38"/>
      <c r="G199" s="38"/>
      <c r="H199" s="38"/>
      <c r="I199" s="38"/>
      <c r="J199" s="38"/>
      <c r="K199" s="38"/>
    </row>
    <row r="200" spans="2:11">
      <c r="B200" s="198"/>
      <c r="C200" s="38"/>
      <c r="D200" s="38"/>
      <c r="E200" s="38"/>
      <c r="F200" s="38"/>
      <c r="G200" s="38"/>
      <c r="H200" s="38"/>
      <c r="I200" s="38"/>
      <c r="J200" s="38"/>
      <c r="K200" s="38"/>
    </row>
    <row r="201" spans="2:11">
      <c r="B201" s="198"/>
      <c r="C201" s="38"/>
      <c r="D201" s="38"/>
      <c r="E201" s="38"/>
      <c r="F201" s="38"/>
      <c r="G201" s="38"/>
      <c r="H201" s="38"/>
      <c r="I201" s="38"/>
      <c r="J201" s="38"/>
      <c r="K201" s="38"/>
    </row>
    <row r="202" spans="2:11">
      <c r="B202" s="198"/>
      <c r="C202" s="38"/>
      <c r="D202" s="38"/>
      <c r="E202" s="38"/>
      <c r="F202" s="38"/>
      <c r="G202" s="38"/>
      <c r="H202" s="38"/>
      <c r="I202" s="38"/>
      <c r="J202" s="38"/>
      <c r="K202" s="38"/>
    </row>
    <row r="203" spans="2:11">
      <c r="B203" s="198"/>
      <c r="C203" s="38"/>
      <c r="D203" s="38"/>
      <c r="E203" s="38"/>
      <c r="F203" s="38"/>
      <c r="G203" s="38"/>
      <c r="H203" s="38"/>
      <c r="I203" s="38"/>
      <c r="J203" s="38"/>
      <c r="K203" s="38"/>
    </row>
    <row r="204" spans="2:11">
      <c r="B204" s="198"/>
      <c r="C204" s="38"/>
      <c r="D204" s="38"/>
      <c r="E204" s="38"/>
      <c r="F204" s="38"/>
      <c r="G204" s="38"/>
      <c r="H204" s="38"/>
      <c r="I204" s="38"/>
      <c r="J204" s="38"/>
      <c r="K204" s="38"/>
    </row>
    <row r="205" spans="2:11">
      <c r="B205" s="198"/>
      <c r="C205" s="38"/>
      <c r="D205" s="38"/>
      <c r="E205" s="38"/>
      <c r="F205" s="38"/>
      <c r="G205" s="38"/>
      <c r="H205" s="38"/>
      <c r="I205" s="38"/>
      <c r="J205" s="38"/>
      <c r="K205" s="38"/>
    </row>
    <row r="206" spans="2:11">
      <c r="B206" s="198"/>
      <c r="C206" s="38"/>
      <c r="D206" s="38"/>
      <c r="E206" s="38"/>
      <c r="F206" s="38"/>
      <c r="G206" s="38"/>
      <c r="H206" s="38"/>
      <c r="I206" s="38"/>
      <c r="J206" s="38"/>
      <c r="K206" s="38"/>
    </row>
    <row r="207" spans="2:11">
      <c r="B207" s="198"/>
      <c r="C207" s="38"/>
      <c r="D207" s="38"/>
      <c r="E207" s="38"/>
      <c r="F207" s="38"/>
      <c r="G207" s="38"/>
      <c r="H207" s="38"/>
      <c r="I207" s="38"/>
      <c r="J207" s="38"/>
      <c r="K207" s="38"/>
    </row>
    <row r="208" spans="2:11">
      <c r="B208" s="198"/>
      <c r="C208" s="38"/>
      <c r="D208" s="38"/>
      <c r="E208" s="38"/>
      <c r="F208" s="38"/>
      <c r="G208" s="38"/>
      <c r="H208" s="38"/>
      <c r="I208" s="38"/>
      <c r="J208" s="38"/>
      <c r="K208" s="38"/>
    </row>
    <row r="209" spans="2:11">
      <c r="B209" s="198"/>
      <c r="C209" s="38"/>
      <c r="D209" s="38"/>
      <c r="E209" s="38"/>
      <c r="F209" s="38"/>
      <c r="G209" s="38"/>
      <c r="H209" s="38"/>
      <c r="I209" s="38"/>
      <c r="J209" s="38"/>
      <c r="K209" s="38"/>
    </row>
    <row r="210" spans="2:11" ht="14.25" customHeight="1">
      <c r="B210" s="198"/>
      <c r="C210" s="38"/>
      <c r="D210" s="38"/>
      <c r="E210" s="38"/>
      <c r="F210" s="38"/>
      <c r="G210" s="38"/>
      <c r="H210" s="38"/>
      <c r="I210" s="38"/>
      <c r="J210" s="38"/>
      <c r="K210" s="38"/>
    </row>
    <row r="211" spans="2:11" ht="12.75" customHeight="1">
      <c r="B211" s="198"/>
      <c r="C211" s="38"/>
      <c r="D211" s="38"/>
      <c r="E211" s="38"/>
      <c r="F211" s="38"/>
      <c r="G211" s="38"/>
      <c r="H211" s="38"/>
      <c r="I211" s="38"/>
      <c r="J211" s="38"/>
      <c r="K211" s="38"/>
    </row>
    <row r="212" spans="2:11" ht="12.75" customHeight="1">
      <c r="B212" s="198"/>
      <c r="C212" s="38"/>
      <c r="D212" s="38"/>
      <c r="E212" s="38"/>
      <c r="F212" s="38"/>
      <c r="G212" s="38"/>
      <c r="H212" s="38"/>
      <c r="I212" s="38"/>
      <c r="J212" s="38"/>
      <c r="K212" s="38"/>
    </row>
    <row r="213" spans="2:11" ht="12.75" customHeight="1">
      <c r="B213" s="198"/>
      <c r="C213" s="38"/>
      <c r="D213" s="38"/>
      <c r="E213" s="38"/>
      <c r="F213" s="38"/>
      <c r="G213" s="38"/>
      <c r="H213" s="38"/>
      <c r="I213" s="38"/>
      <c r="J213" s="38"/>
      <c r="K213" s="38"/>
    </row>
    <row r="214" spans="2:11" ht="12.75" customHeight="1">
      <c r="B214" s="198"/>
      <c r="C214" s="38"/>
      <c r="D214" s="38"/>
      <c r="E214" s="38"/>
      <c r="F214" s="38"/>
      <c r="G214" s="38"/>
      <c r="H214" s="38"/>
      <c r="I214" s="38"/>
      <c r="J214" s="38"/>
      <c r="K214" s="38"/>
    </row>
    <row r="215" spans="2:11" ht="12.75" customHeight="1">
      <c r="B215" s="198"/>
      <c r="C215" s="38"/>
      <c r="D215" s="38"/>
      <c r="E215" s="38"/>
      <c r="F215" s="38"/>
      <c r="G215" s="38"/>
      <c r="H215" s="38"/>
      <c r="I215" s="38"/>
      <c r="J215" s="38"/>
      <c r="K215" s="38"/>
    </row>
    <row r="216" spans="2:11" ht="12.75" customHeight="1">
      <c r="B216" s="198"/>
      <c r="C216" s="38"/>
      <c r="D216" s="38"/>
      <c r="E216" s="38"/>
      <c r="F216" s="38"/>
      <c r="G216" s="38"/>
      <c r="H216" s="38"/>
      <c r="I216" s="38"/>
      <c r="J216" s="38"/>
      <c r="K216" s="38"/>
    </row>
    <row r="217" spans="2:11" ht="12.75" customHeight="1">
      <c r="B217" s="198"/>
      <c r="C217" s="38"/>
      <c r="D217" s="38"/>
      <c r="E217" s="38"/>
      <c r="F217" s="38"/>
      <c r="G217" s="38"/>
      <c r="H217" s="38"/>
      <c r="I217" s="38"/>
      <c r="J217" s="38"/>
      <c r="K217" s="38"/>
    </row>
    <row r="218" spans="2:11" ht="12.75" customHeight="1">
      <c r="B218" s="198"/>
      <c r="C218" s="38"/>
      <c r="D218" s="38"/>
      <c r="E218" s="38"/>
      <c r="F218" s="38"/>
      <c r="G218" s="38"/>
      <c r="H218" s="38"/>
      <c r="I218" s="38"/>
      <c r="J218" s="38"/>
      <c r="K218" s="38"/>
    </row>
    <row r="219" spans="2:11" ht="12.75" customHeight="1">
      <c r="B219" s="198"/>
      <c r="C219" s="38"/>
      <c r="D219" s="38"/>
      <c r="E219" s="38"/>
      <c r="F219" s="38"/>
      <c r="G219" s="38"/>
      <c r="H219" s="38"/>
      <c r="I219" s="38"/>
      <c r="J219" s="38"/>
      <c r="K219" s="38"/>
    </row>
    <row r="220" spans="2:11" ht="12.75" customHeight="1">
      <c r="B220" s="198"/>
      <c r="C220" s="38"/>
      <c r="D220" s="38"/>
      <c r="E220" s="38"/>
      <c r="F220" s="38"/>
      <c r="G220" s="38"/>
      <c r="H220" s="38"/>
      <c r="I220" s="38"/>
      <c r="J220" s="38"/>
      <c r="K220" s="38"/>
    </row>
    <row r="221" spans="2:11" ht="12.75" customHeight="1">
      <c r="B221" s="198"/>
      <c r="C221" s="38"/>
      <c r="D221" s="38"/>
      <c r="E221" s="38"/>
      <c r="F221" s="38"/>
      <c r="G221" s="38"/>
      <c r="H221" s="38"/>
      <c r="I221" s="38"/>
      <c r="J221" s="38"/>
      <c r="K221" s="38"/>
    </row>
    <row r="222" spans="2:11" ht="12.75" customHeight="1">
      <c r="B222" s="198"/>
      <c r="C222" s="38"/>
      <c r="D222" s="38"/>
      <c r="E222" s="38"/>
      <c r="F222" s="38"/>
      <c r="G222" s="38"/>
      <c r="H222" s="38"/>
      <c r="I222" s="38"/>
      <c r="J222" s="38"/>
      <c r="K222" s="38"/>
    </row>
    <row r="223" spans="2:11" ht="12.75" customHeight="1">
      <c r="B223" s="198"/>
      <c r="C223" s="38"/>
      <c r="D223" s="38"/>
      <c r="E223" s="38"/>
      <c r="F223" s="38"/>
      <c r="G223" s="38"/>
      <c r="H223" s="38"/>
      <c r="I223" s="38"/>
      <c r="J223" s="38"/>
      <c r="K223" s="38"/>
    </row>
    <row r="224" spans="2:11" ht="12.75" customHeight="1">
      <c r="B224" s="198"/>
      <c r="C224" s="38"/>
      <c r="D224" s="38"/>
      <c r="E224" s="38"/>
      <c r="F224" s="38"/>
      <c r="G224" s="38"/>
      <c r="H224" s="38"/>
      <c r="I224" s="38"/>
      <c r="J224" s="38"/>
      <c r="K224" s="38"/>
    </row>
    <row r="225" spans="2:11" ht="12.75" customHeight="1">
      <c r="B225" s="198"/>
      <c r="C225" s="38"/>
      <c r="D225" s="38"/>
      <c r="E225" s="38"/>
      <c r="F225" s="38"/>
      <c r="G225" s="38"/>
      <c r="H225" s="38"/>
      <c r="I225" s="38"/>
      <c r="J225" s="38"/>
      <c r="K225" s="38"/>
    </row>
    <row r="226" spans="2:11">
      <c r="B226" s="198"/>
      <c r="C226" s="38"/>
      <c r="D226" s="38"/>
      <c r="E226" s="38"/>
      <c r="F226" s="38"/>
      <c r="G226" s="38"/>
      <c r="H226" s="38"/>
      <c r="I226" s="38"/>
      <c r="J226" s="38"/>
      <c r="K226" s="38"/>
    </row>
    <row r="227" spans="2:11">
      <c r="B227" s="198"/>
      <c r="C227" s="38"/>
      <c r="D227" s="38"/>
      <c r="E227" s="38"/>
      <c r="F227" s="38"/>
      <c r="G227" s="38"/>
      <c r="H227" s="38"/>
      <c r="I227" s="38"/>
      <c r="J227" s="38"/>
      <c r="K227" s="38"/>
    </row>
    <row r="228" spans="2:11">
      <c r="B228" s="198"/>
      <c r="C228" s="38"/>
      <c r="D228" s="38"/>
      <c r="E228" s="38"/>
      <c r="F228" s="38"/>
      <c r="G228" s="38"/>
      <c r="H228" s="38"/>
      <c r="I228" s="38"/>
      <c r="J228" s="38"/>
      <c r="K228" s="38"/>
    </row>
    <row r="229" spans="2:11">
      <c r="B229" s="198"/>
      <c r="C229" s="38"/>
      <c r="D229" s="38"/>
      <c r="E229" s="38"/>
      <c r="F229" s="38"/>
      <c r="G229" s="38"/>
      <c r="H229" s="38"/>
      <c r="I229" s="38"/>
      <c r="J229" s="38"/>
      <c r="K229" s="38"/>
    </row>
    <row r="230" spans="2:11">
      <c r="B230" s="198"/>
      <c r="C230" s="38"/>
      <c r="D230" s="38"/>
      <c r="E230" s="38"/>
      <c r="F230" s="38"/>
      <c r="G230" s="38"/>
      <c r="H230" s="38"/>
      <c r="I230" s="38"/>
      <c r="J230" s="38"/>
      <c r="K230" s="38"/>
    </row>
    <row r="231" spans="2:11">
      <c r="B231" s="198"/>
      <c r="C231" s="38"/>
      <c r="D231" s="38"/>
      <c r="E231" s="38"/>
      <c r="F231" s="38"/>
      <c r="G231" s="38"/>
      <c r="H231" s="38"/>
      <c r="I231" s="38"/>
      <c r="J231" s="38"/>
      <c r="K231" s="38"/>
    </row>
    <row r="232" spans="2:11">
      <c r="B232" s="198"/>
      <c r="C232" s="38"/>
      <c r="D232" s="38"/>
      <c r="E232" s="38"/>
      <c r="F232" s="38"/>
      <c r="G232" s="38"/>
      <c r="H232" s="38"/>
      <c r="I232" s="38"/>
      <c r="J232" s="38"/>
      <c r="K232" s="38"/>
    </row>
    <row r="233" spans="2:11">
      <c r="B233" s="198"/>
      <c r="C233" s="38"/>
      <c r="D233" s="38"/>
      <c r="E233" s="38"/>
      <c r="F233" s="38"/>
      <c r="G233" s="38"/>
      <c r="H233" s="38"/>
      <c r="I233" s="38"/>
      <c r="J233" s="38"/>
      <c r="K233" s="38"/>
    </row>
    <row r="234" spans="2:11">
      <c r="B234" s="198"/>
      <c r="C234" s="38"/>
      <c r="D234" s="38"/>
      <c r="E234" s="38"/>
      <c r="F234" s="38"/>
      <c r="G234" s="38"/>
      <c r="H234" s="38"/>
      <c r="I234" s="38"/>
      <c r="J234" s="38"/>
      <c r="K234" s="38"/>
    </row>
    <row r="235" spans="2:11">
      <c r="B235" s="198"/>
      <c r="C235" s="38"/>
      <c r="D235" s="38"/>
      <c r="E235" s="38"/>
      <c r="F235" s="38"/>
      <c r="G235" s="38"/>
      <c r="H235" s="38"/>
      <c r="I235" s="38"/>
      <c r="J235" s="38"/>
      <c r="K235" s="38"/>
    </row>
    <row r="236" spans="2:11">
      <c r="B236" s="198"/>
      <c r="C236" s="38"/>
      <c r="D236" s="38"/>
      <c r="E236" s="38"/>
      <c r="F236" s="38"/>
      <c r="G236" s="38"/>
      <c r="H236" s="38"/>
      <c r="I236" s="38"/>
      <c r="J236" s="38"/>
      <c r="K236" s="38"/>
    </row>
    <row r="237" spans="2:11">
      <c r="B237" s="198"/>
      <c r="C237" s="38"/>
      <c r="D237" s="38"/>
      <c r="E237" s="38"/>
      <c r="F237" s="38"/>
      <c r="G237" s="38"/>
      <c r="H237" s="38"/>
      <c r="I237" s="38"/>
      <c r="J237" s="38"/>
      <c r="K237" s="38"/>
    </row>
    <row r="238" spans="2:11">
      <c r="B238" s="198"/>
      <c r="C238" s="38"/>
      <c r="D238" s="38"/>
      <c r="E238" s="38"/>
      <c r="F238" s="38"/>
      <c r="G238" s="38"/>
      <c r="H238" s="38"/>
      <c r="I238" s="38"/>
      <c r="J238" s="38"/>
      <c r="K238" s="38"/>
    </row>
    <row r="239" spans="2:11">
      <c r="B239" s="198"/>
      <c r="C239" s="38"/>
      <c r="D239" s="38"/>
      <c r="E239" s="38"/>
      <c r="F239" s="38"/>
      <c r="G239" s="38"/>
      <c r="H239" s="38"/>
      <c r="I239" s="38"/>
      <c r="J239" s="38"/>
      <c r="K239" s="38"/>
    </row>
    <row r="240" spans="2:11">
      <c r="B240" s="198"/>
      <c r="C240" s="38"/>
      <c r="D240" s="38"/>
      <c r="E240" s="38"/>
      <c r="F240" s="38"/>
      <c r="G240" s="38"/>
      <c r="H240" s="38"/>
      <c r="I240" s="38"/>
      <c r="J240" s="38"/>
      <c r="K240" s="38"/>
    </row>
    <row r="241" spans="2:11">
      <c r="B241" s="198"/>
      <c r="C241" s="38"/>
      <c r="D241" s="38"/>
      <c r="E241" s="38"/>
      <c r="F241" s="38"/>
      <c r="G241" s="38"/>
      <c r="H241" s="38"/>
      <c r="I241" s="38"/>
      <c r="J241" s="38"/>
      <c r="K241" s="38"/>
    </row>
    <row r="242" spans="2:11">
      <c r="B242" s="198"/>
      <c r="C242" s="38"/>
      <c r="D242" s="38"/>
      <c r="E242" s="38"/>
      <c r="F242" s="38"/>
      <c r="G242" s="38"/>
      <c r="H242" s="38"/>
      <c r="I242" s="38"/>
      <c r="J242" s="38"/>
      <c r="K242" s="38"/>
    </row>
    <row r="243" spans="2:11">
      <c r="B243" s="198"/>
      <c r="C243" s="38"/>
      <c r="D243" s="38"/>
      <c r="E243" s="38"/>
      <c r="F243" s="38"/>
      <c r="G243" s="38"/>
      <c r="H243" s="38"/>
      <c r="I243" s="38"/>
      <c r="J243" s="38"/>
      <c r="K243" s="38"/>
    </row>
  </sheetData>
  <mergeCells count="5">
    <mergeCell ref="G53:G56"/>
    <mergeCell ref="A1:J1"/>
    <mergeCell ref="A2:J2"/>
    <mergeCell ref="A3:J3"/>
    <mergeCell ref="A4:J4"/>
  </mergeCells>
  <phoneticPr fontId="0" type="noConversion"/>
  <printOptions horizontalCentered="1"/>
  <pageMargins left="0.25" right="0.25" top="1" bottom="1" header="0.65" footer="0.5"/>
  <pageSetup scale="54" orientation="portrait" r:id="rId1"/>
  <headerFooter alignWithMargins="0">
    <oddHeader xml:space="preserve">&amp;R&amp;16AEP - SPP Formula Rate
TCOS - WS C
Page: &amp;P of &amp;N
</oddHeader>
    <oddFooter xml:space="preserve">&amp;C &amp;R </oddFooter>
  </headerFooter>
  <rowBreaks count="1" manualBreakCount="1">
    <brk id="8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255"/>
  <sheetViews>
    <sheetView topLeftCell="A127" zoomScale="80" zoomScaleNormal="80" zoomScaleSheetLayoutView="100" zoomScalePageLayoutView="80" workbookViewId="0">
      <selection activeCell="O34" sqref="O34"/>
    </sheetView>
  </sheetViews>
  <sheetFormatPr defaultColWidth="8.85546875" defaultRowHeight="12.75"/>
  <cols>
    <col min="1" max="2" width="1.7109375" style="38" customWidth="1"/>
    <col min="3" max="3" width="11.5703125" style="38" customWidth="1"/>
    <col min="4" max="4" width="1.7109375" style="444" customWidth="1"/>
    <col min="5" max="5" width="11" style="38" customWidth="1"/>
    <col min="6" max="6" width="1.5703125" style="38" customWidth="1"/>
    <col min="7" max="7" width="54.7109375" style="38" customWidth="1"/>
    <col min="8" max="8" width="17.28515625" style="171" bestFit="1" customWidth="1"/>
    <col min="9" max="9" width="12.42578125" style="38" customWidth="1"/>
    <col min="10" max="10" width="13.7109375" style="38" customWidth="1"/>
    <col min="11" max="11" width="14.85546875" style="38" customWidth="1"/>
    <col min="12" max="12" width="17.5703125" style="38" customWidth="1"/>
    <col min="13" max="13" width="16.42578125" style="38" customWidth="1"/>
    <col min="14" max="14" width="13.7109375" style="38" customWidth="1"/>
    <col min="15" max="15" width="8.85546875" style="38"/>
    <col min="16" max="16" width="11.7109375" style="38" bestFit="1" customWidth="1"/>
    <col min="17" max="16384" width="8.85546875" style="38"/>
  </cols>
  <sheetData>
    <row r="1" spans="1:24" ht="20.25">
      <c r="A1" s="709"/>
      <c r="B1" s="710"/>
      <c r="D1" s="38"/>
      <c r="I1" s="55"/>
      <c r="J1" s="55"/>
      <c r="K1" s="55"/>
      <c r="L1" s="55"/>
      <c r="M1" s="55"/>
      <c r="N1" s="165"/>
    </row>
    <row r="2" spans="1:24" ht="20.25" customHeight="1">
      <c r="A2" s="165"/>
      <c r="B2" s="666"/>
      <c r="C2" s="1564" t="str">
        <f>+'PSO TCOS'!F3</f>
        <v xml:space="preserve">AEP West SPP Member Operating Companies </v>
      </c>
      <c r="D2" s="1564"/>
      <c r="E2" s="1564"/>
      <c r="F2" s="1564"/>
      <c r="G2" s="1564"/>
      <c r="H2" s="1564"/>
      <c r="I2" s="1564"/>
      <c r="J2" s="1564"/>
      <c r="K2" s="1564"/>
      <c r="L2" s="1564"/>
      <c r="M2" s="1564"/>
      <c r="N2" s="1564"/>
    </row>
    <row r="3" spans="1:24" ht="20.25" customHeight="1">
      <c r="C3" s="1562" t="str">
        <f>+'PSO TCOS'!F7</f>
        <v>PUBLIC SERVICE COMPANY OF OKLAHOMA</v>
      </c>
      <c r="D3" s="1562"/>
      <c r="E3" s="1562"/>
      <c r="F3" s="1562"/>
      <c r="G3" s="1562"/>
      <c r="H3" s="1562"/>
      <c r="I3" s="1562"/>
      <c r="J3" s="1562"/>
      <c r="K3" s="1562"/>
      <c r="L3" s="1562"/>
      <c r="M3" s="1562"/>
      <c r="N3" s="1562"/>
    </row>
    <row r="4" spans="1:24" ht="22.5" customHeight="1">
      <c r="C4" s="1562" t="s">
        <v>1132</v>
      </c>
      <c r="D4" s="1562"/>
      <c r="E4" s="1562"/>
      <c r="F4" s="1562"/>
      <c r="G4" s="1562"/>
      <c r="H4" s="1562"/>
      <c r="I4" s="1562"/>
      <c r="J4" s="1562"/>
      <c r="K4" s="1562"/>
      <c r="L4" s="1562"/>
      <c r="M4" s="1562"/>
      <c r="N4" s="1562"/>
    </row>
    <row r="5" spans="1:24" ht="18" customHeight="1">
      <c r="C5" s="1567" t="str">
        <f>"AS OF DECEMBER 31, "&amp;'PSO TCOS'!N1</f>
        <v>AS OF DECEMBER 31, 2019</v>
      </c>
      <c r="D5" s="1567"/>
      <c r="E5" s="1567"/>
      <c r="F5" s="1567"/>
      <c r="G5" s="1567"/>
      <c r="H5" s="1567"/>
      <c r="I5" s="1567"/>
      <c r="J5" s="1567"/>
      <c r="K5" s="1567"/>
      <c r="L5" s="1567"/>
      <c r="M5" s="1567"/>
      <c r="N5" s="1567"/>
    </row>
    <row r="6" spans="1:24">
      <c r="D6" s="38"/>
    </row>
    <row r="7" spans="1:24">
      <c r="D7" s="38"/>
      <c r="J7" s="1566" t="s">
        <v>178</v>
      </c>
      <c r="K7" s="1566"/>
      <c r="L7" s="1566"/>
      <c r="M7" s="1566"/>
      <c r="N7" s="1566"/>
    </row>
    <row r="8" spans="1:24" ht="25.5">
      <c r="C8" s="668" t="s">
        <v>439</v>
      </c>
      <c r="D8" s="113"/>
      <c r="E8" s="668" t="s">
        <v>179</v>
      </c>
      <c r="G8" s="668" t="s">
        <v>343</v>
      </c>
      <c r="H8" s="669" t="s">
        <v>353</v>
      </c>
      <c r="I8" s="193" t="s">
        <v>103</v>
      </c>
      <c r="J8" s="193" t="s">
        <v>180</v>
      </c>
      <c r="K8" s="193" t="s">
        <v>181</v>
      </c>
      <c r="L8" s="668" t="s">
        <v>182</v>
      </c>
      <c r="M8" s="668" t="s">
        <v>183</v>
      </c>
      <c r="N8" s="668" t="s">
        <v>337</v>
      </c>
    </row>
    <row r="10" spans="1:24">
      <c r="C10" s="844" t="s">
        <v>840</v>
      </c>
      <c r="D10" s="1269" t="s">
        <v>375</v>
      </c>
      <c r="E10" s="855" t="s">
        <v>1310</v>
      </c>
      <c r="F10" s="1270"/>
      <c r="G10" s="855" t="s">
        <v>1311</v>
      </c>
      <c r="H10" s="848">
        <v>-111671196</v>
      </c>
      <c r="I10" s="846" t="s">
        <v>184</v>
      </c>
      <c r="J10" s="843" t="str">
        <f>IF(I10="e",H10," ")</f>
        <v xml:space="preserve"> </v>
      </c>
      <c r="K10" s="278" t="str">
        <f t="shared" ref="K10:K49" si="0">IF($I10="T",$H10," ")</f>
        <v xml:space="preserve"> </v>
      </c>
      <c r="L10" s="278">
        <f t="shared" ref="L10:L49" si="1">IF($I10="PTD",$H10," ")</f>
        <v>-111671196</v>
      </c>
      <c r="M10" s="843" t="str">
        <f t="shared" ref="M10:M49" si="2">IF($I10="T&amp;D",$H10," ")</f>
        <v xml:space="preserve"> </v>
      </c>
      <c r="N10" s="843" t="str">
        <f>IF(I10="Labor",H10," ")</f>
        <v xml:space="preserve"> </v>
      </c>
      <c r="P10"/>
      <c r="Q10"/>
      <c r="R10"/>
      <c r="S10"/>
      <c r="T10"/>
      <c r="U10"/>
      <c r="V10"/>
      <c r="W10"/>
      <c r="X10"/>
    </row>
    <row r="11" spans="1:24">
      <c r="C11" s="844" t="s">
        <v>840</v>
      </c>
      <c r="D11" s="1269" t="s">
        <v>375</v>
      </c>
      <c r="E11" s="855" t="s">
        <v>1025</v>
      </c>
      <c r="F11" s="1270"/>
      <c r="G11" s="855" t="s">
        <v>1529</v>
      </c>
      <c r="H11" s="848">
        <v>-333066836.94999999</v>
      </c>
      <c r="I11" s="846" t="s">
        <v>184</v>
      </c>
      <c r="J11" s="843" t="str">
        <f t="shared" ref="J11:J46" si="3">IF(I11="e",H11," ")</f>
        <v xml:space="preserve"> </v>
      </c>
      <c r="K11" s="278" t="str">
        <f t="shared" si="0"/>
        <v xml:space="preserve"> </v>
      </c>
      <c r="L11" s="278">
        <f t="shared" si="1"/>
        <v>-333066836.94999999</v>
      </c>
      <c r="M11" s="843" t="str">
        <f t="shared" si="2"/>
        <v xml:space="preserve"> </v>
      </c>
      <c r="N11" s="843" t="str">
        <f t="shared" ref="N11:N46" si="4">IF(I11="Labor",H11," ")</f>
        <v xml:space="preserve"> </v>
      </c>
      <c r="P11"/>
      <c r="Q11"/>
      <c r="R11"/>
      <c r="S11"/>
      <c r="T11"/>
      <c r="U11"/>
      <c r="V11"/>
      <c r="W11"/>
      <c r="X11"/>
    </row>
    <row r="12" spans="1:24">
      <c r="C12" s="844" t="s">
        <v>840</v>
      </c>
      <c r="D12" s="1269" t="s">
        <v>375</v>
      </c>
      <c r="E12" s="855" t="s">
        <v>1026</v>
      </c>
      <c r="F12" s="1270"/>
      <c r="G12" s="855" t="s">
        <v>841</v>
      </c>
      <c r="H12" s="848">
        <v>0</v>
      </c>
      <c r="I12" s="846" t="s">
        <v>184</v>
      </c>
      <c r="J12" s="843" t="str">
        <f t="shared" si="3"/>
        <v xml:space="preserve"> </v>
      </c>
      <c r="K12" s="278" t="str">
        <f t="shared" si="0"/>
        <v xml:space="preserve"> </v>
      </c>
      <c r="L12" s="278">
        <f t="shared" si="1"/>
        <v>0</v>
      </c>
      <c r="M12" s="843" t="str">
        <f t="shared" si="2"/>
        <v xml:space="preserve"> </v>
      </c>
      <c r="N12" s="843" t="str">
        <f t="shared" si="4"/>
        <v xml:space="preserve"> </v>
      </c>
      <c r="P12"/>
      <c r="Q12"/>
      <c r="R12"/>
      <c r="S12"/>
      <c r="T12"/>
      <c r="U12"/>
      <c r="V12"/>
      <c r="W12"/>
      <c r="X12"/>
    </row>
    <row r="13" spans="1:24">
      <c r="C13" s="844" t="s">
        <v>840</v>
      </c>
      <c r="D13" s="1269" t="s">
        <v>375</v>
      </c>
      <c r="E13" s="855" t="s">
        <v>1312</v>
      </c>
      <c r="F13" s="1270"/>
      <c r="G13" s="855" t="s">
        <v>1313</v>
      </c>
      <c r="H13" s="848">
        <v>-10168602.6</v>
      </c>
      <c r="I13" s="846" t="s">
        <v>184</v>
      </c>
      <c r="J13" s="843" t="str">
        <f t="shared" si="3"/>
        <v xml:space="preserve"> </v>
      </c>
      <c r="K13" s="278" t="str">
        <f t="shared" si="0"/>
        <v xml:space="preserve"> </v>
      </c>
      <c r="L13" s="278">
        <f t="shared" si="1"/>
        <v>-10168602.6</v>
      </c>
      <c r="M13" s="843" t="str">
        <f t="shared" si="2"/>
        <v xml:space="preserve"> </v>
      </c>
      <c r="N13" s="843" t="str">
        <f t="shared" si="4"/>
        <v xml:space="preserve"> </v>
      </c>
      <c r="P13"/>
      <c r="Q13"/>
      <c r="R13"/>
      <c r="S13"/>
      <c r="T13"/>
      <c r="U13"/>
      <c r="V13"/>
      <c r="W13"/>
      <c r="X13"/>
    </row>
    <row r="14" spans="1:24">
      <c r="C14" s="844" t="s">
        <v>840</v>
      </c>
      <c r="D14" s="1269" t="s">
        <v>375</v>
      </c>
      <c r="E14" s="855" t="s">
        <v>1027</v>
      </c>
      <c r="F14" s="1270"/>
      <c r="G14" s="855" t="s">
        <v>842</v>
      </c>
      <c r="H14" s="848">
        <v>-754633.53</v>
      </c>
      <c r="I14" s="846" t="s">
        <v>184</v>
      </c>
      <c r="J14" s="843" t="str">
        <f t="shared" si="3"/>
        <v xml:space="preserve"> </v>
      </c>
      <c r="K14" s="278" t="str">
        <f t="shared" si="0"/>
        <v xml:space="preserve"> </v>
      </c>
      <c r="L14" s="278">
        <f t="shared" si="1"/>
        <v>-754633.53</v>
      </c>
      <c r="M14" s="843" t="str">
        <f t="shared" si="2"/>
        <v xml:space="preserve"> </v>
      </c>
      <c r="N14" s="843" t="str">
        <f t="shared" si="4"/>
        <v xml:space="preserve"> </v>
      </c>
    </row>
    <row r="15" spans="1:24">
      <c r="C15" s="844" t="s">
        <v>840</v>
      </c>
      <c r="D15" s="1269"/>
      <c r="E15" s="855" t="s">
        <v>1028</v>
      </c>
      <c r="F15" s="1270"/>
      <c r="G15" s="855" t="s">
        <v>843</v>
      </c>
      <c r="H15" s="848">
        <v>55574.82</v>
      </c>
      <c r="I15" s="846" t="s">
        <v>184</v>
      </c>
      <c r="J15" s="843" t="str">
        <f t="shared" si="3"/>
        <v xml:space="preserve"> </v>
      </c>
      <c r="K15" s="278" t="str">
        <f t="shared" si="0"/>
        <v xml:space="preserve"> </v>
      </c>
      <c r="L15" s="278">
        <f t="shared" si="1"/>
        <v>55574.82</v>
      </c>
      <c r="M15" s="843" t="str">
        <f t="shared" si="2"/>
        <v xml:space="preserve"> </v>
      </c>
      <c r="N15" s="843" t="str">
        <f t="shared" si="4"/>
        <v xml:space="preserve"> </v>
      </c>
    </row>
    <row r="16" spans="1:24">
      <c r="C16" s="844" t="s">
        <v>840</v>
      </c>
      <c r="D16" s="1269"/>
      <c r="E16" s="855" t="s">
        <v>1029</v>
      </c>
      <c r="F16" s="1270"/>
      <c r="G16" s="855" t="s">
        <v>844</v>
      </c>
      <c r="H16" s="848">
        <v>-2261126.4900000002</v>
      </c>
      <c r="I16" s="846" t="s">
        <v>184</v>
      </c>
      <c r="J16" s="843" t="str">
        <f t="shared" si="3"/>
        <v xml:space="preserve"> </v>
      </c>
      <c r="K16" s="278" t="str">
        <f t="shared" si="0"/>
        <v xml:space="preserve"> </v>
      </c>
      <c r="L16" s="278">
        <f t="shared" si="1"/>
        <v>-2261126.4900000002</v>
      </c>
      <c r="M16" s="843" t="str">
        <f t="shared" si="2"/>
        <v xml:space="preserve"> </v>
      </c>
      <c r="N16" s="843" t="str">
        <f t="shared" si="4"/>
        <v xml:space="preserve"> </v>
      </c>
    </row>
    <row r="17" spans="3:14">
      <c r="C17" s="844" t="s">
        <v>840</v>
      </c>
      <c r="D17" s="1269"/>
      <c r="E17" s="855" t="s">
        <v>1030</v>
      </c>
      <c r="F17" s="1270"/>
      <c r="G17" s="855" t="s">
        <v>847</v>
      </c>
      <c r="H17" s="848">
        <v>-5162351.42</v>
      </c>
      <c r="I17" s="846" t="s">
        <v>328</v>
      </c>
      <c r="J17" s="843">
        <f t="shared" si="3"/>
        <v>-5162351.42</v>
      </c>
      <c r="K17" s="278" t="str">
        <f t="shared" si="0"/>
        <v xml:space="preserve"> </v>
      </c>
      <c r="L17" s="278" t="str">
        <f t="shared" si="1"/>
        <v xml:space="preserve"> </v>
      </c>
      <c r="M17" s="843" t="str">
        <f t="shared" si="2"/>
        <v xml:space="preserve"> </v>
      </c>
      <c r="N17" s="843" t="str">
        <f t="shared" si="4"/>
        <v xml:space="preserve"> </v>
      </c>
    </row>
    <row r="18" spans="3:14">
      <c r="C18" s="844" t="s">
        <v>840</v>
      </c>
      <c r="D18" s="1269" t="s">
        <v>375</v>
      </c>
      <c r="E18" s="855" t="s">
        <v>1031</v>
      </c>
      <c r="F18" s="1270"/>
      <c r="G18" s="855" t="s">
        <v>848</v>
      </c>
      <c r="H18" s="848">
        <v>-413091.96</v>
      </c>
      <c r="I18" s="846" t="s">
        <v>184</v>
      </c>
      <c r="J18" s="843" t="str">
        <f t="shared" si="3"/>
        <v xml:space="preserve"> </v>
      </c>
      <c r="K18" s="278" t="str">
        <f t="shared" si="0"/>
        <v xml:space="preserve"> </v>
      </c>
      <c r="L18" s="278">
        <f t="shared" si="1"/>
        <v>-413091.96</v>
      </c>
      <c r="M18" s="843" t="str">
        <f t="shared" si="2"/>
        <v xml:space="preserve"> </v>
      </c>
      <c r="N18" s="843" t="str">
        <f t="shared" si="4"/>
        <v xml:space="preserve"> </v>
      </c>
    </row>
    <row r="19" spans="3:14">
      <c r="C19" s="844" t="s">
        <v>840</v>
      </c>
      <c r="D19" s="1269" t="s">
        <v>375</v>
      </c>
      <c r="E19" s="855" t="s">
        <v>1032</v>
      </c>
      <c r="F19" s="1270"/>
      <c r="G19" s="855" t="s">
        <v>849</v>
      </c>
      <c r="H19" s="848">
        <v>1877225.71</v>
      </c>
      <c r="I19" s="846" t="s">
        <v>184</v>
      </c>
      <c r="J19" s="843" t="str">
        <f t="shared" si="3"/>
        <v xml:space="preserve"> </v>
      </c>
      <c r="K19" s="278" t="str">
        <f t="shared" si="0"/>
        <v xml:space="preserve"> </v>
      </c>
      <c r="L19" s="278">
        <f t="shared" si="1"/>
        <v>1877225.71</v>
      </c>
      <c r="M19" s="843" t="str">
        <f t="shared" si="2"/>
        <v xml:space="preserve"> </v>
      </c>
      <c r="N19" s="843" t="str">
        <f t="shared" si="4"/>
        <v xml:space="preserve"> </v>
      </c>
    </row>
    <row r="20" spans="3:14">
      <c r="C20" s="844" t="s">
        <v>840</v>
      </c>
      <c r="D20" s="1269" t="s">
        <v>375</v>
      </c>
      <c r="E20" s="855" t="s">
        <v>1033</v>
      </c>
      <c r="F20" s="1270"/>
      <c r="G20" s="855" t="s">
        <v>850</v>
      </c>
      <c r="H20" s="848">
        <v>-1730874.39</v>
      </c>
      <c r="I20" s="846" t="s">
        <v>184</v>
      </c>
      <c r="J20" s="843" t="str">
        <f t="shared" si="3"/>
        <v xml:space="preserve"> </v>
      </c>
      <c r="K20" s="278" t="str">
        <f t="shared" si="0"/>
        <v xml:space="preserve"> </v>
      </c>
      <c r="L20" s="278">
        <f t="shared" si="1"/>
        <v>-1730874.39</v>
      </c>
      <c r="M20" s="843" t="str">
        <f t="shared" si="2"/>
        <v xml:space="preserve"> </v>
      </c>
      <c r="N20" s="843" t="str">
        <f t="shared" si="4"/>
        <v xml:space="preserve"> </v>
      </c>
    </row>
    <row r="21" spans="3:14">
      <c r="C21" s="844" t="s">
        <v>840</v>
      </c>
      <c r="D21" s="1269" t="s">
        <v>375</v>
      </c>
      <c r="E21" s="855" t="s">
        <v>1034</v>
      </c>
      <c r="F21" s="1270"/>
      <c r="G21" s="855" t="s">
        <v>851</v>
      </c>
      <c r="H21" s="848">
        <v>-6275726.9000000004</v>
      </c>
      <c r="I21" s="846" t="s">
        <v>184</v>
      </c>
      <c r="J21" s="843" t="str">
        <f t="shared" si="3"/>
        <v xml:space="preserve"> </v>
      </c>
      <c r="K21" s="278" t="str">
        <f t="shared" si="0"/>
        <v xml:space="preserve"> </v>
      </c>
      <c r="L21" s="278">
        <f t="shared" si="1"/>
        <v>-6275726.9000000004</v>
      </c>
      <c r="M21" s="843" t="str">
        <f t="shared" si="2"/>
        <v xml:space="preserve"> </v>
      </c>
      <c r="N21" s="843" t="str">
        <f t="shared" si="4"/>
        <v xml:space="preserve"> </v>
      </c>
    </row>
    <row r="22" spans="3:14">
      <c r="C22" s="844" t="s">
        <v>840</v>
      </c>
      <c r="D22" s="1269" t="s">
        <v>375</v>
      </c>
      <c r="E22" s="855" t="s">
        <v>1035</v>
      </c>
      <c r="F22" s="1270"/>
      <c r="G22" s="855" t="s">
        <v>852</v>
      </c>
      <c r="H22" s="848">
        <v>11510918.619999999</v>
      </c>
      <c r="I22" s="846" t="s">
        <v>184</v>
      </c>
      <c r="J22" s="843" t="str">
        <f t="shared" si="3"/>
        <v xml:space="preserve"> </v>
      </c>
      <c r="K22" s="278" t="str">
        <f t="shared" si="0"/>
        <v xml:space="preserve"> </v>
      </c>
      <c r="L22" s="278">
        <f t="shared" si="1"/>
        <v>11510918.619999999</v>
      </c>
      <c r="M22" s="843" t="str">
        <f t="shared" si="2"/>
        <v xml:space="preserve"> </v>
      </c>
      <c r="N22" s="843" t="str">
        <f t="shared" si="4"/>
        <v xml:space="preserve"> </v>
      </c>
    </row>
    <row r="23" spans="3:14">
      <c r="C23" s="844" t="s">
        <v>840</v>
      </c>
      <c r="D23" s="1269" t="s">
        <v>375</v>
      </c>
      <c r="E23" s="855" t="s">
        <v>1036</v>
      </c>
      <c r="F23" s="1270"/>
      <c r="G23" s="855" t="s">
        <v>853</v>
      </c>
      <c r="H23" s="848">
        <v>11430066.060000001</v>
      </c>
      <c r="I23" s="846" t="s">
        <v>328</v>
      </c>
      <c r="J23" s="843">
        <f t="shared" si="3"/>
        <v>11430066.060000001</v>
      </c>
      <c r="K23" s="278" t="str">
        <f t="shared" si="0"/>
        <v xml:space="preserve"> </v>
      </c>
      <c r="L23" s="278" t="str">
        <f t="shared" si="1"/>
        <v xml:space="preserve"> </v>
      </c>
      <c r="M23" s="843" t="str">
        <f t="shared" si="2"/>
        <v xml:space="preserve"> </v>
      </c>
      <c r="N23" s="843" t="str">
        <f t="shared" si="4"/>
        <v xml:space="preserve"> </v>
      </c>
    </row>
    <row r="24" spans="3:14">
      <c r="C24" s="844" t="s">
        <v>840</v>
      </c>
      <c r="D24" s="1269" t="s">
        <v>375</v>
      </c>
      <c r="E24" s="855" t="s">
        <v>1037</v>
      </c>
      <c r="F24" s="1270"/>
      <c r="G24" s="855" t="s">
        <v>854</v>
      </c>
      <c r="H24" s="848">
        <v>-40006.199999999997</v>
      </c>
      <c r="I24" s="846" t="s">
        <v>184</v>
      </c>
      <c r="J24" s="843" t="str">
        <f t="shared" si="3"/>
        <v xml:space="preserve"> </v>
      </c>
      <c r="K24" s="278" t="str">
        <f t="shared" si="0"/>
        <v xml:space="preserve"> </v>
      </c>
      <c r="L24" s="278">
        <f t="shared" si="1"/>
        <v>-40006.199999999997</v>
      </c>
      <c r="M24" s="843" t="str">
        <f t="shared" si="2"/>
        <v xml:space="preserve"> </v>
      </c>
      <c r="N24" s="843" t="str">
        <f t="shared" si="4"/>
        <v xml:space="preserve"> </v>
      </c>
    </row>
    <row r="25" spans="3:14">
      <c r="C25" s="844" t="s">
        <v>840</v>
      </c>
      <c r="D25" s="1269" t="s">
        <v>375</v>
      </c>
      <c r="E25" s="855" t="s">
        <v>1038</v>
      </c>
      <c r="F25" s="1270"/>
      <c r="G25" s="855" t="s">
        <v>855</v>
      </c>
      <c r="H25" s="848">
        <v>-13616608.710000001</v>
      </c>
      <c r="I25" s="846" t="s">
        <v>184</v>
      </c>
      <c r="J25" s="843" t="str">
        <f t="shared" si="3"/>
        <v xml:space="preserve"> </v>
      </c>
      <c r="K25" s="278" t="str">
        <f t="shared" si="0"/>
        <v xml:space="preserve"> </v>
      </c>
      <c r="L25" s="278">
        <f t="shared" si="1"/>
        <v>-13616608.710000001</v>
      </c>
      <c r="M25" s="843" t="str">
        <f t="shared" si="2"/>
        <v xml:space="preserve"> </v>
      </c>
      <c r="N25" s="843" t="str">
        <f t="shared" si="4"/>
        <v xml:space="preserve"> </v>
      </c>
    </row>
    <row r="26" spans="3:14">
      <c r="C26" s="844" t="s">
        <v>840</v>
      </c>
      <c r="D26" s="1269" t="s">
        <v>375</v>
      </c>
      <c r="E26" s="855" t="s">
        <v>1039</v>
      </c>
      <c r="F26" s="1270"/>
      <c r="G26" s="855" t="s">
        <v>856</v>
      </c>
      <c r="H26" s="848">
        <v>-39202900.590000004</v>
      </c>
      <c r="I26" s="846" t="s">
        <v>184</v>
      </c>
      <c r="J26" s="843" t="str">
        <f t="shared" si="3"/>
        <v xml:space="preserve"> </v>
      </c>
      <c r="K26" s="278" t="str">
        <f t="shared" si="0"/>
        <v xml:space="preserve"> </v>
      </c>
      <c r="L26" s="278">
        <f t="shared" si="1"/>
        <v>-39202900.590000004</v>
      </c>
      <c r="M26" s="843" t="str">
        <f t="shared" si="2"/>
        <v xml:space="preserve"> </v>
      </c>
      <c r="N26" s="843" t="str">
        <f t="shared" si="4"/>
        <v xml:space="preserve"> </v>
      </c>
    </row>
    <row r="27" spans="3:14">
      <c r="C27" s="844" t="s">
        <v>840</v>
      </c>
      <c r="D27" s="1269" t="s">
        <v>375</v>
      </c>
      <c r="E27" s="855" t="s">
        <v>1040</v>
      </c>
      <c r="F27" s="1270"/>
      <c r="G27" s="855" t="s">
        <v>857</v>
      </c>
      <c r="H27" s="848">
        <v>-23666358.030000001</v>
      </c>
      <c r="I27" s="846" t="s">
        <v>184</v>
      </c>
      <c r="J27" s="843" t="str">
        <f t="shared" si="3"/>
        <v xml:space="preserve"> </v>
      </c>
      <c r="K27" s="278" t="str">
        <f t="shared" si="0"/>
        <v xml:space="preserve"> </v>
      </c>
      <c r="L27" s="278">
        <f t="shared" si="1"/>
        <v>-23666358.030000001</v>
      </c>
      <c r="M27" s="843" t="str">
        <f t="shared" si="2"/>
        <v xml:space="preserve"> </v>
      </c>
      <c r="N27" s="843" t="str">
        <f t="shared" si="4"/>
        <v xml:space="preserve"> </v>
      </c>
    </row>
    <row r="28" spans="3:14">
      <c r="C28" s="844" t="s">
        <v>840</v>
      </c>
      <c r="D28" s="1479"/>
      <c r="E28" s="855" t="s">
        <v>1495</v>
      </c>
      <c r="F28" s="1270"/>
      <c r="G28" s="855" t="s">
        <v>1496</v>
      </c>
      <c r="H28" s="848">
        <v>-1252192.1399999999</v>
      </c>
      <c r="I28" s="846" t="s">
        <v>328</v>
      </c>
      <c r="J28" s="843">
        <f t="shared" si="3"/>
        <v>-1252192.1399999999</v>
      </c>
      <c r="K28" s="278" t="str">
        <f t="shared" si="0"/>
        <v xml:space="preserve"> </v>
      </c>
      <c r="L28" s="278" t="str">
        <f t="shared" si="1"/>
        <v xml:space="preserve"> </v>
      </c>
      <c r="M28" s="843" t="str">
        <f t="shared" si="2"/>
        <v xml:space="preserve"> </v>
      </c>
      <c r="N28" s="843" t="str">
        <f t="shared" si="4"/>
        <v xml:space="preserve"> </v>
      </c>
    </row>
    <row r="29" spans="3:14">
      <c r="C29" s="844" t="s">
        <v>840</v>
      </c>
      <c r="D29" s="1269" t="s">
        <v>375</v>
      </c>
      <c r="E29" s="855" t="s">
        <v>1041</v>
      </c>
      <c r="F29" s="1270"/>
      <c r="G29" s="855" t="s">
        <v>858</v>
      </c>
      <c r="H29" s="848">
        <v>-12878874.75</v>
      </c>
      <c r="I29" s="846" t="s">
        <v>184</v>
      </c>
      <c r="J29" s="843" t="str">
        <f t="shared" si="3"/>
        <v xml:space="preserve"> </v>
      </c>
      <c r="K29" s="278" t="str">
        <f t="shared" si="0"/>
        <v xml:space="preserve"> </v>
      </c>
      <c r="L29" s="278">
        <f t="shared" si="1"/>
        <v>-12878874.75</v>
      </c>
      <c r="M29" s="843" t="str">
        <f t="shared" si="2"/>
        <v xml:space="preserve"> </v>
      </c>
      <c r="N29" s="843" t="str">
        <f t="shared" si="4"/>
        <v xml:space="preserve"> </v>
      </c>
    </row>
    <row r="30" spans="3:14">
      <c r="C30" s="844" t="s">
        <v>840</v>
      </c>
      <c r="D30" s="1269" t="s">
        <v>375</v>
      </c>
      <c r="E30" s="855" t="s">
        <v>1314</v>
      </c>
      <c r="F30" s="1270"/>
      <c r="G30" s="855" t="s">
        <v>1315</v>
      </c>
      <c r="H30" s="848">
        <v>-106803</v>
      </c>
      <c r="I30" s="846" t="s">
        <v>184</v>
      </c>
      <c r="J30" s="843" t="str">
        <f t="shared" si="3"/>
        <v xml:space="preserve"> </v>
      </c>
      <c r="K30" s="278" t="str">
        <f t="shared" si="0"/>
        <v xml:space="preserve"> </v>
      </c>
      <c r="L30" s="278">
        <f t="shared" si="1"/>
        <v>-106803</v>
      </c>
      <c r="M30" s="843" t="str">
        <f t="shared" si="2"/>
        <v xml:space="preserve"> </v>
      </c>
      <c r="N30" s="843" t="str">
        <f t="shared" si="4"/>
        <v xml:space="preserve"> </v>
      </c>
    </row>
    <row r="31" spans="3:14">
      <c r="C31" s="844" t="s">
        <v>840</v>
      </c>
      <c r="D31" s="1269" t="s">
        <v>375</v>
      </c>
      <c r="E31" s="855" t="s">
        <v>1042</v>
      </c>
      <c r="F31" s="1270"/>
      <c r="G31" s="855" t="s">
        <v>859</v>
      </c>
      <c r="H31" s="848">
        <v>3241027.2</v>
      </c>
      <c r="I31" s="846" t="s">
        <v>328</v>
      </c>
      <c r="J31" s="843">
        <f t="shared" si="3"/>
        <v>3241027.2</v>
      </c>
      <c r="K31" s="278" t="str">
        <f t="shared" si="0"/>
        <v xml:space="preserve"> </v>
      </c>
      <c r="L31" s="278" t="str">
        <f t="shared" si="1"/>
        <v xml:space="preserve"> </v>
      </c>
      <c r="M31" s="843" t="str">
        <f t="shared" si="2"/>
        <v xml:space="preserve"> </v>
      </c>
      <c r="N31" s="843" t="str">
        <f t="shared" si="4"/>
        <v xml:space="preserve"> </v>
      </c>
    </row>
    <row r="32" spans="3:14">
      <c r="C32" s="844" t="s">
        <v>840</v>
      </c>
      <c r="D32" s="1269" t="s">
        <v>375</v>
      </c>
      <c r="E32" s="855" t="s">
        <v>987</v>
      </c>
      <c r="F32" s="1270"/>
      <c r="G32" s="855" t="s">
        <v>988</v>
      </c>
      <c r="H32" s="848">
        <v>30622.12</v>
      </c>
      <c r="I32" s="846" t="s">
        <v>328</v>
      </c>
      <c r="J32" s="843">
        <f t="shared" si="3"/>
        <v>30622.12</v>
      </c>
      <c r="K32" s="278" t="str">
        <f t="shared" si="0"/>
        <v xml:space="preserve"> </v>
      </c>
      <c r="L32" s="278" t="str">
        <f t="shared" si="1"/>
        <v xml:space="preserve"> </v>
      </c>
      <c r="M32" s="843" t="str">
        <f t="shared" si="2"/>
        <v xml:space="preserve"> </v>
      </c>
      <c r="N32" s="843" t="str">
        <f t="shared" si="4"/>
        <v xml:space="preserve"> </v>
      </c>
    </row>
    <row r="33" spans="3:15">
      <c r="C33" s="844" t="s">
        <v>840</v>
      </c>
      <c r="D33" s="1269" t="s">
        <v>375</v>
      </c>
      <c r="E33" s="855" t="s">
        <v>1316</v>
      </c>
      <c r="F33" s="1270"/>
      <c r="G33" s="855" t="s">
        <v>1317</v>
      </c>
      <c r="H33" s="848">
        <v>19092.03</v>
      </c>
      <c r="I33" s="846" t="s">
        <v>328</v>
      </c>
      <c r="J33" s="843">
        <f t="shared" si="3"/>
        <v>19092.03</v>
      </c>
      <c r="K33" s="278" t="str">
        <f t="shared" si="0"/>
        <v xml:space="preserve"> </v>
      </c>
      <c r="L33" s="278" t="str">
        <f t="shared" si="1"/>
        <v xml:space="preserve"> </v>
      </c>
      <c r="M33" s="843" t="str">
        <f t="shared" si="2"/>
        <v xml:space="preserve"> </v>
      </c>
      <c r="N33" s="843" t="str">
        <f t="shared" si="4"/>
        <v xml:space="preserve"> </v>
      </c>
    </row>
    <row r="34" spans="3:15">
      <c r="C34" s="844" t="s">
        <v>840</v>
      </c>
      <c r="D34" s="1269" t="s">
        <v>375</v>
      </c>
      <c r="E34" s="855" t="s">
        <v>1318</v>
      </c>
      <c r="F34" s="1270"/>
      <c r="G34" s="855" t="s">
        <v>1319</v>
      </c>
      <c r="H34" s="848">
        <v>80503.11</v>
      </c>
      <c r="I34" s="846" t="s">
        <v>328</v>
      </c>
      <c r="J34" s="843">
        <f t="shared" si="3"/>
        <v>80503.11</v>
      </c>
      <c r="K34" s="278" t="str">
        <f t="shared" si="0"/>
        <v xml:space="preserve"> </v>
      </c>
      <c r="L34" s="278" t="str">
        <f t="shared" si="1"/>
        <v xml:space="preserve"> </v>
      </c>
      <c r="M34" s="843" t="str">
        <f t="shared" si="2"/>
        <v xml:space="preserve"> </v>
      </c>
      <c r="N34" s="843" t="str">
        <f t="shared" si="4"/>
        <v xml:space="preserve"> </v>
      </c>
    </row>
    <row r="35" spans="3:15">
      <c r="C35" s="844" t="s">
        <v>840</v>
      </c>
      <c r="D35" s="1269" t="s">
        <v>375</v>
      </c>
      <c r="E35" s="855" t="s">
        <v>1320</v>
      </c>
      <c r="F35" s="1270"/>
      <c r="G35" s="855" t="s">
        <v>1321</v>
      </c>
      <c r="H35" s="848">
        <v>90473.39</v>
      </c>
      <c r="I35" s="846" t="s">
        <v>328</v>
      </c>
      <c r="J35" s="843">
        <f t="shared" si="3"/>
        <v>90473.39</v>
      </c>
      <c r="K35" s="278" t="str">
        <f t="shared" si="0"/>
        <v xml:space="preserve"> </v>
      </c>
      <c r="L35" s="278" t="str">
        <f t="shared" si="1"/>
        <v xml:space="preserve"> </v>
      </c>
      <c r="M35" s="843" t="str">
        <f t="shared" si="2"/>
        <v xml:space="preserve"> </v>
      </c>
      <c r="N35" s="843" t="str">
        <f t="shared" si="4"/>
        <v xml:space="preserve"> </v>
      </c>
    </row>
    <row r="36" spans="3:15">
      <c r="C36" s="844" t="s">
        <v>840</v>
      </c>
      <c r="D36" s="1269" t="s">
        <v>375</v>
      </c>
      <c r="E36" s="855" t="s">
        <v>1043</v>
      </c>
      <c r="F36" s="1270"/>
      <c r="G36" s="855" t="s">
        <v>864</v>
      </c>
      <c r="H36" s="848">
        <v>2282.91</v>
      </c>
      <c r="I36" s="846" t="s">
        <v>337</v>
      </c>
      <c r="J36" s="843" t="str">
        <f t="shared" si="3"/>
        <v xml:space="preserve"> </v>
      </c>
      <c r="K36" s="278" t="str">
        <f t="shared" si="0"/>
        <v xml:space="preserve"> </v>
      </c>
      <c r="L36" s="278" t="str">
        <f t="shared" si="1"/>
        <v xml:space="preserve"> </v>
      </c>
      <c r="M36" s="843" t="str">
        <f t="shared" si="2"/>
        <v xml:space="preserve"> </v>
      </c>
      <c r="N36" s="843">
        <f t="shared" si="4"/>
        <v>2282.91</v>
      </c>
    </row>
    <row r="37" spans="3:15">
      <c r="C37" s="844" t="s">
        <v>840</v>
      </c>
      <c r="D37" s="1269" t="s">
        <v>375</v>
      </c>
      <c r="E37" s="855" t="s">
        <v>1044</v>
      </c>
      <c r="F37" s="1270"/>
      <c r="G37" s="855" t="s">
        <v>865</v>
      </c>
      <c r="H37" s="848">
        <v>-20248.63</v>
      </c>
      <c r="I37" s="846" t="s">
        <v>184</v>
      </c>
      <c r="J37" s="843" t="str">
        <f t="shared" si="3"/>
        <v xml:space="preserve"> </v>
      </c>
      <c r="K37" s="278" t="str">
        <f t="shared" si="0"/>
        <v xml:space="preserve"> </v>
      </c>
      <c r="L37" s="278">
        <f t="shared" si="1"/>
        <v>-20248.63</v>
      </c>
      <c r="M37" s="843" t="str">
        <f t="shared" si="2"/>
        <v xml:space="preserve"> </v>
      </c>
      <c r="N37" s="843" t="str">
        <f t="shared" si="4"/>
        <v xml:space="preserve"> </v>
      </c>
    </row>
    <row r="38" spans="3:15">
      <c r="C38" s="844" t="s">
        <v>840</v>
      </c>
      <c r="D38" s="1269" t="s">
        <v>375</v>
      </c>
      <c r="E38" s="855" t="s">
        <v>1045</v>
      </c>
      <c r="F38" s="1270"/>
      <c r="G38" s="855" t="s">
        <v>866</v>
      </c>
      <c r="H38" s="848">
        <v>-10127793.34</v>
      </c>
      <c r="I38" s="846" t="s">
        <v>337</v>
      </c>
      <c r="J38" s="843" t="str">
        <f t="shared" si="3"/>
        <v xml:space="preserve"> </v>
      </c>
      <c r="K38" s="278" t="str">
        <f t="shared" si="0"/>
        <v xml:space="preserve"> </v>
      </c>
      <c r="L38" s="278" t="str">
        <f t="shared" si="1"/>
        <v xml:space="preserve"> </v>
      </c>
      <c r="M38" s="843" t="str">
        <f t="shared" si="2"/>
        <v xml:space="preserve"> </v>
      </c>
      <c r="N38" s="843">
        <f t="shared" si="4"/>
        <v>-10127793.34</v>
      </c>
    </row>
    <row r="39" spans="3:15">
      <c r="C39" s="844" t="s">
        <v>840</v>
      </c>
      <c r="D39" s="1269" t="s">
        <v>375</v>
      </c>
      <c r="E39" s="855" t="s">
        <v>1046</v>
      </c>
      <c r="F39" s="1270"/>
      <c r="G39" s="855" t="s">
        <v>868</v>
      </c>
      <c r="H39" s="848">
        <v>-67138666.290000007</v>
      </c>
      <c r="I39" s="846" t="s">
        <v>184</v>
      </c>
      <c r="J39" s="843" t="str">
        <f t="shared" si="3"/>
        <v xml:space="preserve"> </v>
      </c>
      <c r="K39" s="278" t="str">
        <f t="shared" si="0"/>
        <v xml:space="preserve"> </v>
      </c>
      <c r="L39" s="278">
        <f t="shared" si="1"/>
        <v>-67138666.290000007</v>
      </c>
      <c r="M39" s="843" t="str">
        <f t="shared" si="2"/>
        <v xml:space="preserve"> </v>
      </c>
      <c r="N39" s="843" t="str">
        <f t="shared" si="4"/>
        <v xml:space="preserve"> </v>
      </c>
    </row>
    <row r="40" spans="3:15">
      <c r="C40" s="844" t="s">
        <v>840</v>
      </c>
      <c r="D40" s="1269" t="s">
        <v>375</v>
      </c>
      <c r="E40" s="855" t="s">
        <v>1322</v>
      </c>
      <c r="F40" s="1270"/>
      <c r="G40" s="855" t="s">
        <v>1323</v>
      </c>
      <c r="H40" s="848">
        <v>8692056.5999999996</v>
      </c>
      <c r="I40" s="846" t="s">
        <v>184</v>
      </c>
      <c r="J40" s="843" t="str">
        <f t="shared" si="3"/>
        <v xml:space="preserve"> </v>
      </c>
      <c r="K40" s="278" t="str">
        <f t="shared" si="0"/>
        <v xml:space="preserve"> </v>
      </c>
      <c r="L40" s="278">
        <f t="shared" si="1"/>
        <v>8692056.5999999996</v>
      </c>
      <c r="M40" s="843" t="str">
        <f t="shared" si="2"/>
        <v xml:space="preserve"> </v>
      </c>
      <c r="N40" s="843" t="str">
        <f t="shared" si="4"/>
        <v xml:space="preserve"> </v>
      </c>
    </row>
    <row r="41" spans="3:15">
      <c r="C41" s="844" t="s">
        <v>840</v>
      </c>
      <c r="D41" s="1269" t="s">
        <v>375</v>
      </c>
      <c r="E41" s="855" t="s">
        <v>1047</v>
      </c>
      <c r="F41" s="1270"/>
      <c r="G41" s="855" t="s">
        <v>907</v>
      </c>
      <c r="H41" s="848">
        <v>-1764153.36</v>
      </c>
      <c r="I41" s="846" t="s">
        <v>328</v>
      </c>
      <c r="J41" s="843">
        <f t="shared" si="3"/>
        <v>-1764153.36</v>
      </c>
      <c r="K41" s="278" t="str">
        <f t="shared" si="0"/>
        <v xml:space="preserve"> </v>
      </c>
      <c r="L41" s="278" t="str">
        <f t="shared" si="1"/>
        <v xml:space="preserve"> </v>
      </c>
      <c r="M41" s="843" t="str">
        <f t="shared" si="2"/>
        <v xml:space="preserve"> </v>
      </c>
      <c r="N41" s="843" t="str">
        <f t="shared" si="4"/>
        <v xml:space="preserve"> </v>
      </c>
    </row>
    <row r="42" spans="3:15">
      <c r="C42" s="844" t="s">
        <v>840</v>
      </c>
      <c r="D42" s="1269" t="s">
        <v>375</v>
      </c>
      <c r="E42" s="855" t="s">
        <v>1324</v>
      </c>
      <c r="F42" s="1270"/>
      <c r="G42" s="855" t="s">
        <v>1325</v>
      </c>
      <c r="H42" s="848">
        <v>386635.2</v>
      </c>
      <c r="I42" s="846" t="s">
        <v>328</v>
      </c>
      <c r="J42" s="843">
        <f t="shared" si="3"/>
        <v>386635.2</v>
      </c>
      <c r="K42" s="278" t="str">
        <f t="shared" si="0"/>
        <v xml:space="preserve"> </v>
      </c>
      <c r="L42" s="278" t="str">
        <f t="shared" si="1"/>
        <v xml:space="preserve"> </v>
      </c>
      <c r="M42" s="843" t="str">
        <f t="shared" si="2"/>
        <v xml:space="preserve"> </v>
      </c>
      <c r="N42" s="843" t="str">
        <f t="shared" si="4"/>
        <v xml:space="preserve"> </v>
      </c>
    </row>
    <row r="43" spans="3:15">
      <c r="C43" s="844" t="s">
        <v>840</v>
      </c>
      <c r="D43" s="1269" t="s">
        <v>375</v>
      </c>
      <c r="E43" s="855" t="s">
        <v>1326</v>
      </c>
      <c r="F43" s="1270"/>
      <c r="G43" s="855" t="s">
        <v>1327</v>
      </c>
      <c r="H43" s="848">
        <v>-81039</v>
      </c>
      <c r="I43" s="846" t="s">
        <v>184</v>
      </c>
      <c r="J43" s="843" t="str">
        <f t="shared" si="3"/>
        <v xml:space="preserve"> </v>
      </c>
      <c r="K43" s="278" t="str">
        <f t="shared" si="0"/>
        <v xml:space="preserve"> </v>
      </c>
      <c r="L43" s="278">
        <f t="shared" si="1"/>
        <v>-81039</v>
      </c>
      <c r="M43" s="843" t="str">
        <f t="shared" si="2"/>
        <v xml:space="preserve"> </v>
      </c>
      <c r="N43" s="843" t="str">
        <f t="shared" si="4"/>
        <v xml:space="preserve"> </v>
      </c>
    </row>
    <row r="44" spans="3:15">
      <c r="C44" s="844" t="s">
        <v>840</v>
      </c>
      <c r="D44" s="1269"/>
      <c r="E44" s="855" t="s">
        <v>1530</v>
      </c>
      <c r="F44" s="1270"/>
      <c r="G44" s="855" t="s">
        <v>1550</v>
      </c>
      <c r="H44" s="848">
        <v>-338720856</v>
      </c>
      <c r="I44" s="846" t="s">
        <v>184</v>
      </c>
      <c r="J44" s="843" t="str">
        <f t="shared" si="3"/>
        <v xml:space="preserve"> </v>
      </c>
      <c r="K44" s="278" t="str">
        <f t="shared" si="0"/>
        <v xml:space="preserve"> </v>
      </c>
      <c r="L44" s="278">
        <f t="shared" si="1"/>
        <v>-338720856</v>
      </c>
      <c r="M44" s="843" t="str">
        <f t="shared" si="2"/>
        <v xml:space="preserve"> </v>
      </c>
      <c r="N44" s="843" t="str">
        <f t="shared" si="4"/>
        <v xml:space="preserve"> </v>
      </c>
      <c r="O44" s="674"/>
    </row>
    <row r="45" spans="3:15">
      <c r="C45" s="844" t="s">
        <v>840</v>
      </c>
      <c r="D45" s="839"/>
      <c r="E45" s="855" t="s">
        <v>1530</v>
      </c>
      <c r="F45" s="1270"/>
      <c r="G45" s="855" t="s">
        <v>1551</v>
      </c>
      <c r="H45" s="848">
        <v>-68346029</v>
      </c>
      <c r="I45" s="846" t="s">
        <v>184</v>
      </c>
      <c r="J45" s="843" t="str">
        <f t="shared" si="3"/>
        <v xml:space="preserve"> </v>
      </c>
      <c r="K45" s="278" t="str">
        <f t="shared" si="0"/>
        <v xml:space="preserve"> </v>
      </c>
      <c r="L45" s="278">
        <f t="shared" si="1"/>
        <v>-68346029</v>
      </c>
      <c r="M45" s="843" t="str">
        <f t="shared" si="2"/>
        <v xml:space="preserve"> </v>
      </c>
      <c r="N45" s="843" t="str">
        <f t="shared" si="4"/>
        <v xml:space="preserve"> </v>
      </c>
      <c r="O45" s="674"/>
    </row>
    <row r="46" spans="3:15">
      <c r="C46" s="844"/>
      <c r="D46" s="1269"/>
      <c r="E46" s="855"/>
      <c r="F46" s="1270"/>
      <c r="G46" s="855"/>
      <c r="H46" s="848"/>
      <c r="I46" s="846"/>
      <c r="J46" s="843" t="str">
        <f t="shared" si="3"/>
        <v xml:space="preserve"> </v>
      </c>
      <c r="K46" s="278" t="str">
        <f t="shared" si="0"/>
        <v xml:space="preserve"> </v>
      </c>
      <c r="L46" s="278" t="str">
        <f t="shared" si="1"/>
        <v xml:space="preserve"> </v>
      </c>
      <c r="M46" s="843" t="str">
        <f t="shared" si="2"/>
        <v xml:space="preserve"> </v>
      </c>
      <c r="N46" s="843" t="str">
        <f t="shared" si="4"/>
        <v xml:space="preserve"> </v>
      </c>
      <c r="O46" s="674"/>
    </row>
    <row r="47" spans="3:15">
      <c r="C47" s="844"/>
      <c r="D47" s="1269"/>
      <c r="E47" s="855"/>
      <c r="F47" s="1270"/>
      <c r="G47" s="855"/>
      <c r="H47" s="848"/>
      <c r="I47" s="846"/>
      <c r="J47" s="848"/>
      <c r="K47" s="848"/>
      <c r="L47" s="848"/>
      <c r="M47" s="848"/>
      <c r="N47" s="848"/>
      <c r="O47" s="674"/>
    </row>
    <row r="48" spans="3:15">
      <c r="C48" s="844" t="s">
        <v>840</v>
      </c>
      <c r="D48" s="1269"/>
      <c r="E48" s="855"/>
      <c r="F48" s="1270"/>
      <c r="G48" s="855" t="s">
        <v>1471</v>
      </c>
      <c r="H48" s="848">
        <v>-6952297</v>
      </c>
      <c r="I48" s="846" t="s">
        <v>184</v>
      </c>
      <c r="J48" s="848">
        <v>68676</v>
      </c>
      <c r="K48" s="848">
        <f>+'[5]PSO WS C RB Tax'!G22</f>
        <v>0</v>
      </c>
      <c r="L48" s="848">
        <v>-6922571</v>
      </c>
      <c r="M48" s="848">
        <f>+'[5]PSO WS C RB Tax'!I22</f>
        <v>0</v>
      </c>
      <c r="N48" s="848">
        <v>-98402</v>
      </c>
      <c r="O48" s="674"/>
    </row>
    <row r="49" spans="3:15">
      <c r="C49" s="703"/>
      <c r="D49" s="670"/>
      <c r="E49" s="703"/>
      <c r="G49" s="703"/>
      <c r="H49" s="661"/>
      <c r="I49" s="705"/>
      <c r="J49" s="843" t="str">
        <f>IF(I49="e",H49," ")</f>
        <v xml:space="preserve"> </v>
      </c>
      <c r="K49" s="278" t="str">
        <f t="shared" si="0"/>
        <v xml:space="preserve"> </v>
      </c>
      <c r="L49" s="278" t="str">
        <f t="shared" si="1"/>
        <v xml:space="preserve"> </v>
      </c>
      <c r="M49" s="843" t="str">
        <f t="shared" si="2"/>
        <v xml:space="preserve"> </v>
      </c>
      <c r="N49" s="843" t="str">
        <f>IF(I49="Labor",H49," ")</f>
        <v xml:space="preserve"> </v>
      </c>
      <c r="O49" s="674"/>
    </row>
    <row r="50" spans="3:15">
      <c r="C50" s="706">
        <v>282.10000000000002</v>
      </c>
      <c r="D50" s="38"/>
      <c r="G50" s="194" t="s">
        <v>185</v>
      </c>
      <c r="H50" s="673">
        <f>SUM(H10:H49)</f>
        <v>-1018002788.5099999</v>
      </c>
      <c r="I50" s="278"/>
      <c r="J50" s="673">
        <f>SUM(J10:J49)</f>
        <v>7168398.1900000013</v>
      </c>
      <c r="K50" s="673">
        <f>SUM(K10:K49)</f>
        <v>0</v>
      </c>
      <c r="L50" s="673">
        <f>SUM(L10:L49)</f>
        <v>-1014947274.2699999</v>
      </c>
      <c r="M50" s="673">
        <f>SUM(M10:M49)</f>
        <v>0</v>
      </c>
      <c r="N50" s="673">
        <f>SUM(N10:N49)</f>
        <v>-10223912.43</v>
      </c>
      <c r="O50" s="674"/>
    </row>
    <row r="51" spans="3:15" ht="25.5">
      <c r="G51" s="1271" t="s">
        <v>198</v>
      </c>
      <c r="H51" s="841"/>
      <c r="I51" s="278"/>
      <c r="J51" s="675"/>
      <c r="K51" s="278"/>
      <c r="L51" s="278"/>
      <c r="M51" s="278"/>
      <c r="N51" s="278"/>
    </row>
    <row r="52" spans="3:15">
      <c r="H52" s="279"/>
      <c r="I52" s="278"/>
      <c r="J52" s="278"/>
      <c r="K52" s="278"/>
      <c r="L52" s="278"/>
      <c r="M52" s="278"/>
      <c r="N52" s="278"/>
    </row>
    <row r="53" spans="3:15">
      <c r="H53" s="279"/>
      <c r="I53" s="278"/>
      <c r="J53" s="278"/>
      <c r="K53" s="278"/>
      <c r="L53" s="278"/>
      <c r="M53" s="278"/>
      <c r="N53" s="278"/>
    </row>
    <row r="54" spans="3:15">
      <c r="C54" s="844" t="s">
        <v>870</v>
      </c>
      <c r="D54" s="1274" t="s">
        <v>375</v>
      </c>
      <c r="E54" s="855" t="s">
        <v>1328</v>
      </c>
      <c r="F54" s="1270"/>
      <c r="G54" s="855" t="s">
        <v>1329</v>
      </c>
      <c r="H54" s="1485">
        <v>-3571260.79</v>
      </c>
      <c r="I54" s="846" t="s">
        <v>328</v>
      </c>
      <c r="J54" s="843">
        <f>IF(I54="e",H54," ")</f>
        <v>-3571260.79</v>
      </c>
      <c r="K54" s="278" t="str">
        <f t="shared" ref="K54:K99" si="5">IF($I54="T",$H54," ")</f>
        <v xml:space="preserve"> </v>
      </c>
      <c r="L54" s="278" t="str">
        <f t="shared" ref="L54:L99" si="6">IF($I54="PTD",$H54," ")</f>
        <v xml:space="preserve"> </v>
      </c>
      <c r="M54" s="843" t="str">
        <f t="shared" ref="M54:M99" si="7">IF($I54="T&amp;D",$H54," ")</f>
        <v xml:space="preserve"> </v>
      </c>
      <c r="N54" s="843" t="str">
        <f>IF(I54="Labor",H54," ")</f>
        <v xml:space="preserve"> </v>
      </c>
    </row>
    <row r="55" spans="3:15">
      <c r="C55" s="844" t="s">
        <v>870</v>
      </c>
      <c r="D55" s="1274" t="s">
        <v>375</v>
      </c>
      <c r="E55" s="855" t="s">
        <v>1048</v>
      </c>
      <c r="F55" s="1270"/>
      <c r="G55" s="855" t="s">
        <v>871</v>
      </c>
      <c r="H55" s="1485">
        <v>-4396332.92</v>
      </c>
      <c r="I55" s="846" t="s">
        <v>328</v>
      </c>
      <c r="J55" s="843">
        <f t="shared" ref="J55:J99" si="8">IF(I55="e",H55," ")</f>
        <v>-4396332.92</v>
      </c>
      <c r="K55" s="278" t="str">
        <f t="shared" si="5"/>
        <v xml:space="preserve"> </v>
      </c>
      <c r="L55" s="278" t="str">
        <f t="shared" si="6"/>
        <v xml:space="preserve"> </v>
      </c>
      <c r="M55" s="843" t="str">
        <f t="shared" si="7"/>
        <v xml:space="preserve"> </v>
      </c>
      <c r="N55" s="843" t="str">
        <f t="shared" ref="N55:N99" si="9">IF(I55="Labor",H55," ")</f>
        <v xml:space="preserve"> </v>
      </c>
    </row>
    <row r="56" spans="3:15">
      <c r="C56" s="1480" t="s">
        <v>870</v>
      </c>
      <c r="D56" s="1483"/>
      <c r="E56" s="1482" t="s">
        <v>1497</v>
      </c>
      <c r="F56" s="1481"/>
      <c r="G56" s="1482" t="s">
        <v>1498</v>
      </c>
      <c r="H56" s="1485">
        <v>0</v>
      </c>
      <c r="I56" s="1484" t="s">
        <v>328</v>
      </c>
      <c r="J56" s="843">
        <f t="shared" si="8"/>
        <v>0</v>
      </c>
      <c r="K56" s="278" t="str">
        <f t="shared" si="5"/>
        <v xml:space="preserve"> </v>
      </c>
      <c r="L56" s="278" t="str">
        <f t="shared" si="6"/>
        <v xml:space="preserve"> </v>
      </c>
      <c r="M56" s="843" t="str">
        <f t="shared" si="7"/>
        <v xml:space="preserve"> </v>
      </c>
      <c r="N56" s="843" t="str">
        <f t="shared" si="9"/>
        <v xml:space="preserve"> </v>
      </c>
    </row>
    <row r="57" spans="3:15">
      <c r="C57" s="844" t="s">
        <v>870</v>
      </c>
      <c r="D57" s="1274" t="s">
        <v>375</v>
      </c>
      <c r="E57" s="855" t="s">
        <v>915</v>
      </c>
      <c r="F57" s="1270"/>
      <c r="G57" s="855" t="s">
        <v>916</v>
      </c>
      <c r="H57" s="1485">
        <v>894.29</v>
      </c>
      <c r="I57" s="846" t="s">
        <v>328</v>
      </c>
      <c r="J57" s="843">
        <f t="shared" si="8"/>
        <v>894.29</v>
      </c>
      <c r="K57" s="278" t="str">
        <f t="shared" si="5"/>
        <v xml:space="preserve"> </v>
      </c>
      <c r="L57" s="278" t="str">
        <f t="shared" si="6"/>
        <v xml:space="preserve"> </v>
      </c>
      <c r="M57" s="843" t="str">
        <f t="shared" si="7"/>
        <v xml:space="preserve"> </v>
      </c>
      <c r="N57" s="843" t="str">
        <f t="shared" si="9"/>
        <v xml:space="preserve"> </v>
      </c>
    </row>
    <row r="58" spans="3:15">
      <c r="C58" s="844" t="s">
        <v>870</v>
      </c>
      <c r="D58" s="1274"/>
      <c r="E58" s="855" t="s">
        <v>1330</v>
      </c>
      <c r="F58" s="1270"/>
      <c r="G58" s="855" t="s">
        <v>1331</v>
      </c>
      <c r="H58" s="1485">
        <v>272241.76</v>
      </c>
      <c r="I58" s="846" t="s">
        <v>184</v>
      </c>
      <c r="J58" s="843" t="str">
        <f t="shared" si="8"/>
        <v xml:space="preserve"> </v>
      </c>
      <c r="K58" s="278" t="str">
        <f t="shared" si="5"/>
        <v xml:space="preserve"> </v>
      </c>
      <c r="L58" s="278">
        <f t="shared" si="6"/>
        <v>272241.76</v>
      </c>
      <c r="M58" s="843" t="str">
        <f t="shared" si="7"/>
        <v xml:space="preserve"> </v>
      </c>
      <c r="N58" s="843" t="str">
        <f t="shared" si="9"/>
        <v xml:space="preserve"> </v>
      </c>
    </row>
    <row r="59" spans="3:15">
      <c r="C59" s="844" t="s">
        <v>870</v>
      </c>
      <c r="D59" s="1274"/>
      <c r="E59" s="855" t="s">
        <v>1049</v>
      </c>
      <c r="F59" s="1270"/>
      <c r="G59" s="855" t="s">
        <v>872</v>
      </c>
      <c r="H59" s="1485">
        <v>130687.83</v>
      </c>
      <c r="I59" s="846" t="s">
        <v>328</v>
      </c>
      <c r="J59" s="843">
        <f t="shared" si="8"/>
        <v>130687.83</v>
      </c>
      <c r="K59" s="278" t="str">
        <f t="shared" si="5"/>
        <v xml:space="preserve"> </v>
      </c>
      <c r="L59" s="278" t="str">
        <f t="shared" si="6"/>
        <v xml:space="preserve"> </v>
      </c>
      <c r="M59" s="843" t="str">
        <f t="shared" si="7"/>
        <v xml:space="preserve"> </v>
      </c>
      <c r="N59" s="843" t="str">
        <f t="shared" si="9"/>
        <v xml:space="preserve"> </v>
      </c>
    </row>
    <row r="60" spans="3:15">
      <c r="C60" s="844" t="s">
        <v>870</v>
      </c>
      <c r="D60" s="1274" t="s">
        <v>375</v>
      </c>
      <c r="E60" s="855" t="s">
        <v>1050</v>
      </c>
      <c r="F60" s="1270"/>
      <c r="G60" s="855" t="s">
        <v>874</v>
      </c>
      <c r="H60" s="1485">
        <v>23748.06</v>
      </c>
      <c r="I60" s="846" t="s">
        <v>328</v>
      </c>
      <c r="J60" s="843">
        <f t="shared" si="8"/>
        <v>23748.06</v>
      </c>
      <c r="K60" s="278" t="str">
        <f t="shared" si="5"/>
        <v xml:space="preserve"> </v>
      </c>
      <c r="L60" s="278" t="str">
        <f t="shared" si="6"/>
        <v xml:space="preserve"> </v>
      </c>
      <c r="M60" s="843" t="str">
        <f t="shared" si="7"/>
        <v xml:space="preserve"> </v>
      </c>
      <c r="N60" s="843" t="str">
        <f t="shared" si="9"/>
        <v xml:space="preserve"> </v>
      </c>
    </row>
    <row r="61" spans="3:15">
      <c r="C61" s="844" t="s">
        <v>870</v>
      </c>
      <c r="D61" s="1274" t="s">
        <v>375</v>
      </c>
      <c r="E61" s="855" t="s">
        <v>1051</v>
      </c>
      <c r="F61" s="1270"/>
      <c r="G61" s="855" t="s">
        <v>875</v>
      </c>
      <c r="H61" s="1485">
        <v>-16843621.030000001</v>
      </c>
      <c r="I61" s="846" t="s">
        <v>337</v>
      </c>
      <c r="J61" s="843" t="str">
        <f t="shared" si="8"/>
        <v xml:space="preserve"> </v>
      </c>
      <c r="K61" s="278" t="str">
        <f t="shared" si="5"/>
        <v xml:space="preserve"> </v>
      </c>
      <c r="L61" s="278" t="str">
        <f t="shared" si="6"/>
        <v xml:space="preserve"> </v>
      </c>
      <c r="M61" s="843" t="str">
        <f t="shared" si="7"/>
        <v xml:space="preserve"> </v>
      </c>
      <c r="N61" s="843">
        <f t="shared" si="9"/>
        <v>-16843621.030000001</v>
      </c>
    </row>
    <row r="62" spans="3:15">
      <c r="C62" s="844" t="s">
        <v>870</v>
      </c>
      <c r="D62" s="1274" t="s">
        <v>375</v>
      </c>
      <c r="E62" s="855" t="s">
        <v>1052</v>
      </c>
      <c r="F62" s="1270"/>
      <c r="G62" s="855" t="s">
        <v>876</v>
      </c>
      <c r="H62" s="1485">
        <v>15604401.800000001</v>
      </c>
      <c r="I62" s="846" t="s">
        <v>328</v>
      </c>
      <c r="J62" s="843">
        <f t="shared" si="8"/>
        <v>15604401.800000001</v>
      </c>
      <c r="K62" s="278" t="str">
        <f t="shared" si="5"/>
        <v xml:space="preserve"> </v>
      </c>
      <c r="L62" s="278" t="str">
        <f t="shared" si="6"/>
        <v xml:space="preserve"> </v>
      </c>
      <c r="M62" s="843" t="str">
        <f t="shared" si="7"/>
        <v xml:space="preserve"> </v>
      </c>
      <c r="N62" s="843" t="str">
        <f t="shared" si="9"/>
        <v xml:space="preserve"> </v>
      </c>
    </row>
    <row r="63" spans="3:15">
      <c r="C63" s="844" t="s">
        <v>870</v>
      </c>
      <c r="D63" s="1274" t="s">
        <v>375</v>
      </c>
      <c r="E63" s="855" t="s">
        <v>1332</v>
      </c>
      <c r="F63" s="1270"/>
      <c r="G63" s="855" t="s">
        <v>1333</v>
      </c>
      <c r="H63" s="848">
        <v>0.01</v>
      </c>
      <c r="I63" s="846" t="s">
        <v>328</v>
      </c>
      <c r="J63" s="843">
        <f t="shared" si="8"/>
        <v>0.01</v>
      </c>
      <c r="K63" s="278" t="str">
        <f t="shared" si="5"/>
        <v xml:space="preserve"> </v>
      </c>
      <c r="L63" s="278" t="str">
        <f t="shared" si="6"/>
        <v xml:space="preserve"> </v>
      </c>
      <c r="M63" s="843" t="str">
        <f t="shared" si="7"/>
        <v xml:space="preserve"> </v>
      </c>
      <c r="N63" s="843" t="str">
        <f t="shared" si="9"/>
        <v xml:space="preserve"> </v>
      </c>
    </row>
    <row r="64" spans="3:15">
      <c r="C64" s="844" t="s">
        <v>870</v>
      </c>
      <c r="D64" s="1274" t="s">
        <v>375</v>
      </c>
      <c r="E64" s="855" t="s">
        <v>1053</v>
      </c>
      <c r="F64" s="1270"/>
      <c r="G64" s="855" t="s">
        <v>877</v>
      </c>
      <c r="H64" s="1485">
        <v>-7539977.1900000004</v>
      </c>
      <c r="I64" s="846" t="s">
        <v>328</v>
      </c>
      <c r="J64" s="843">
        <f t="shared" si="8"/>
        <v>-7539977.1900000004</v>
      </c>
      <c r="K64" s="278" t="str">
        <f t="shared" si="5"/>
        <v xml:space="preserve"> </v>
      </c>
      <c r="L64" s="278" t="str">
        <f t="shared" si="6"/>
        <v xml:space="preserve"> </v>
      </c>
      <c r="M64" s="843" t="str">
        <f t="shared" si="7"/>
        <v xml:space="preserve"> </v>
      </c>
      <c r="N64" s="843" t="str">
        <f t="shared" si="9"/>
        <v xml:space="preserve"> </v>
      </c>
    </row>
    <row r="65" spans="3:14">
      <c r="C65" s="844" t="s">
        <v>870</v>
      </c>
      <c r="D65" s="1274" t="s">
        <v>375</v>
      </c>
      <c r="E65" s="855" t="s">
        <v>1054</v>
      </c>
      <c r="F65" s="1270"/>
      <c r="G65" s="855" t="s">
        <v>878</v>
      </c>
      <c r="H65" s="1485">
        <v>-62595.839999999997</v>
      </c>
      <c r="I65" s="846" t="s">
        <v>328</v>
      </c>
      <c r="J65" s="843">
        <f t="shared" si="8"/>
        <v>-62595.839999999997</v>
      </c>
      <c r="K65" s="278" t="str">
        <f t="shared" si="5"/>
        <v xml:space="preserve"> </v>
      </c>
      <c r="L65" s="278" t="str">
        <f t="shared" si="6"/>
        <v xml:space="preserve"> </v>
      </c>
      <c r="M65" s="843" t="str">
        <f t="shared" si="7"/>
        <v xml:space="preserve"> </v>
      </c>
      <c r="N65" s="843" t="str">
        <f t="shared" si="9"/>
        <v xml:space="preserve"> </v>
      </c>
    </row>
    <row r="66" spans="3:14">
      <c r="C66" s="844" t="s">
        <v>870</v>
      </c>
      <c r="D66" s="1274" t="s">
        <v>375</v>
      </c>
      <c r="E66" s="855" t="s">
        <v>1055</v>
      </c>
      <c r="F66" s="1270"/>
      <c r="G66" s="855" t="s">
        <v>879</v>
      </c>
      <c r="H66" s="1485">
        <v>-1565471.85</v>
      </c>
      <c r="I66" s="846" t="s">
        <v>328</v>
      </c>
      <c r="J66" s="843">
        <f t="shared" si="8"/>
        <v>-1565471.85</v>
      </c>
      <c r="K66" s="278" t="str">
        <f t="shared" si="5"/>
        <v xml:space="preserve"> </v>
      </c>
      <c r="L66" s="278" t="str">
        <f t="shared" si="6"/>
        <v xml:space="preserve"> </v>
      </c>
      <c r="M66" s="843" t="str">
        <f t="shared" si="7"/>
        <v xml:space="preserve"> </v>
      </c>
      <c r="N66" s="843" t="str">
        <f t="shared" si="9"/>
        <v xml:space="preserve"> </v>
      </c>
    </row>
    <row r="67" spans="3:14">
      <c r="C67" s="844" t="s">
        <v>870</v>
      </c>
      <c r="D67" s="1274" t="s">
        <v>375</v>
      </c>
      <c r="E67" s="855" t="s">
        <v>1056</v>
      </c>
      <c r="F67" s="1270"/>
      <c r="G67" s="855" t="s">
        <v>880</v>
      </c>
      <c r="H67" s="1485">
        <v>21447.85</v>
      </c>
      <c r="I67" s="846" t="s">
        <v>328</v>
      </c>
      <c r="J67" s="843">
        <f t="shared" si="8"/>
        <v>21447.85</v>
      </c>
      <c r="K67" s="278" t="str">
        <f t="shared" si="5"/>
        <v xml:space="preserve"> </v>
      </c>
      <c r="L67" s="278" t="str">
        <f t="shared" si="6"/>
        <v xml:space="preserve"> </v>
      </c>
      <c r="M67" s="843" t="str">
        <f t="shared" si="7"/>
        <v xml:space="preserve"> </v>
      </c>
      <c r="N67" s="843" t="str">
        <f t="shared" si="9"/>
        <v xml:space="preserve"> </v>
      </c>
    </row>
    <row r="68" spans="3:14">
      <c r="C68" s="844" t="s">
        <v>870</v>
      </c>
      <c r="D68" s="1274" t="s">
        <v>375</v>
      </c>
      <c r="E68" s="855" t="s">
        <v>1334</v>
      </c>
      <c r="F68" s="1270"/>
      <c r="G68" s="855" t="s">
        <v>1335</v>
      </c>
      <c r="H68" s="1485">
        <v>0.13</v>
      </c>
      <c r="I68" s="846" t="s">
        <v>328</v>
      </c>
      <c r="J68" s="843">
        <f t="shared" si="8"/>
        <v>0.13</v>
      </c>
      <c r="K68" s="278" t="str">
        <f t="shared" si="5"/>
        <v xml:space="preserve"> </v>
      </c>
      <c r="L68" s="278" t="str">
        <f t="shared" si="6"/>
        <v xml:space="preserve"> </v>
      </c>
      <c r="M68" s="843" t="str">
        <f t="shared" si="7"/>
        <v xml:space="preserve"> </v>
      </c>
      <c r="N68" s="843" t="str">
        <f t="shared" si="9"/>
        <v xml:space="preserve"> </v>
      </c>
    </row>
    <row r="69" spans="3:14">
      <c r="C69" s="844" t="s">
        <v>870</v>
      </c>
      <c r="D69" s="1274" t="s">
        <v>375</v>
      </c>
      <c r="E69" s="855" t="s">
        <v>1336</v>
      </c>
      <c r="F69" s="1270"/>
      <c r="G69" s="855" t="s">
        <v>1337</v>
      </c>
      <c r="H69" s="1485">
        <v>-0.11</v>
      </c>
      <c r="I69" s="846" t="s">
        <v>328</v>
      </c>
      <c r="J69" s="843">
        <f t="shared" si="8"/>
        <v>-0.11</v>
      </c>
      <c r="K69" s="278" t="str">
        <f t="shared" si="5"/>
        <v xml:space="preserve"> </v>
      </c>
      <c r="L69" s="278" t="str">
        <f t="shared" si="6"/>
        <v xml:space="preserve"> </v>
      </c>
      <c r="M69" s="843" t="str">
        <f t="shared" si="7"/>
        <v xml:space="preserve"> </v>
      </c>
      <c r="N69" s="843" t="str">
        <f t="shared" si="9"/>
        <v xml:space="preserve"> </v>
      </c>
    </row>
    <row r="70" spans="3:14">
      <c r="C70" s="844" t="s">
        <v>870</v>
      </c>
      <c r="D70" s="1274" t="s">
        <v>375</v>
      </c>
      <c r="E70" s="855" t="s">
        <v>1338</v>
      </c>
      <c r="F70" s="1270"/>
      <c r="G70" s="855" t="s">
        <v>1339</v>
      </c>
      <c r="H70" s="1485">
        <v>0.21</v>
      </c>
      <c r="I70" s="846" t="s">
        <v>328</v>
      </c>
      <c r="J70" s="843">
        <f t="shared" si="8"/>
        <v>0.21</v>
      </c>
      <c r="K70" s="278" t="str">
        <f t="shared" si="5"/>
        <v xml:space="preserve"> </v>
      </c>
      <c r="L70" s="278" t="str">
        <f t="shared" si="6"/>
        <v xml:space="preserve"> </v>
      </c>
      <c r="M70" s="843" t="str">
        <f t="shared" si="7"/>
        <v xml:space="preserve"> </v>
      </c>
      <c r="N70" s="843" t="str">
        <f t="shared" si="9"/>
        <v xml:space="preserve"> </v>
      </c>
    </row>
    <row r="71" spans="3:14">
      <c r="C71" s="844" t="s">
        <v>870</v>
      </c>
      <c r="D71" s="1274" t="s">
        <v>375</v>
      </c>
      <c r="E71" s="855" t="s">
        <v>1057</v>
      </c>
      <c r="F71" s="1270"/>
      <c r="G71" s="855" t="s">
        <v>883</v>
      </c>
      <c r="H71" s="1485">
        <v>-15604401.800000001</v>
      </c>
      <c r="I71" s="846" t="s">
        <v>328</v>
      </c>
      <c r="J71" s="843">
        <f t="shared" si="8"/>
        <v>-15604401.800000001</v>
      </c>
      <c r="K71" s="278" t="str">
        <f t="shared" si="5"/>
        <v xml:space="preserve"> </v>
      </c>
      <c r="L71" s="278" t="str">
        <f t="shared" si="6"/>
        <v xml:space="preserve"> </v>
      </c>
      <c r="M71" s="843" t="str">
        <f t="shared" si="7"/>
        <v xml:space="preserve"> </v>
      </c>
      <c r="N71" s="843" t="str">
        <f t="shared" si="9"/>
        <v xml:space="preserve"> </v>
      </c>
    </row>
    <row r="72" spans="3:14">
      <c r="C72" s="844" t="s">
        <v>870</v>
      </c>
      <c r="D72" s="1274" t="s">
        <v>375</v>
      </c>
      <c r="E72" s="855" t="s">
        <v>1058</v>
      </c>
      <c r="F72" s="1270"/>
      <c r="G72" s="855" t="s">
        <v>884</v>
      </c>
      <c r="H72" s="1485">
        <v>-242682.45</v>
      </c>
      <c r="I72" s="846" t="s">
        <v>328</v>
      </c>
      <c r="J72" s="843">
        <f t="shared" si="8"/>
        <v>-242682.45</v>
      </c>
      <c r="K72" s="278" t="str">
        <f t="shared" si="5"/>
        <v xml:space="preserve"> </v>
      </c>
      <c r="L72" s="278" t="str">
        <f t="shared" si="6"/>
        <v xml:space="preserve"> </v>
      </c>
      <c r="M72" s="843" t="str">
        <f t="shared" si="7"/>
        <v xml:space="preserve"> </v>
      </c>
      <c r="N72" s="843" t="str">
        <f t="shared" si="9"/>
        <v xml:space="preserve"> </v>
      </c>
    </row>
    <row r="73" spans="3:14">
      <c r="C73" s="844" t="s">
        <v>870</v>
      </c>
      <c r="D73" s="1274" t="s">
        <v>375</v>
      </c>
      <c r="E73" s="855" t="s">
        <v>1059</v>
      </c>
      <c r="F73" s="1270"/>
      <c r="G73" s="855" t="s">
        <v>885</v>
      </c>
      <c r="H73" s="1485">
        <v>692450.71</v>
      </c>
      <c r="I73" s="846" t="s">
        <v>328</v>
      </c>
      <c r="J73" s="843">
        <f t="shared" si="8"/>
        <v>692450.71</v>
      </c>
      <c r="K73" s="278" t="str">
        <f t="shared" si="5"/>
        <v xml:space="preserve"> </v>
      </c>
      <c r="L73" s="278" t="str">
        <f t="shared" si="6"/>
        <v xml:space="preserve"> </v>
      </c>
      <c r="M73" s="843" t="str">
        <f t="shared" si="7"/>
        <v xml:space="preserve"> </v>
      </c>
      <c r="N73" s="843" t="str">
        <f t="shared" si="9"/>
        <v xml:space="preserve"> </v>
      </c>
    </row>
    <row r="74" spans="3:14">
      <c r="C74" s="1480" t="s">
        <v>870</v>
      </c>
      <c r="D74" s="1486"/>
      <c r="E74" s="1482" t="s">
        <v>1499</v>
      </c>
      <c r="F74" s="1481"/>
      <c r="G74" s="1482" t="s">
        <v>1500</v>
      </c>
      <c r="H74" s="1485">
        <v>0</v>
      </c>
      <c r="I74" s="846" t="s">
        <v>328</v>
      </c>
      <c r="J74" s="843">
        <f t="shared" si="8"/>
        <v>0</v>
      </c>
      <c r="K74" s="278" t="str">
        <f t="shared" si="5"/>
        <v xml:space="preserve"> </v>
      </c>
      <c r="L74" s="278" t="str">
        <f t="shared" si="6"/>
        <v xml:space="preserve"> </v>
      </c>
      <c r="M74" s="843" t="str">
        <f t="shared" si="7"/>
        <v xml:space="preserve"> </v>
      </c>
      <c r="N74" s="843" t="str">
        <f t="shared" si="9"/>
        <v xml:space="preserve"> </v>
      </c>
    </row>
    <row r="75" spans="3:14">
      <c r="C75" s="844" t="s">
        <v>870</v>
      </c>
      <c r="D75" s="1274" t="s">
        <v>375</v>
      </c>
      <c r="E75" s="855" t="s">
        <v>1340</v>
      </c>
      <c r="F75" s="1270"/>
      <c r="G75" s="855" t="s">
        <v>1341</v>
      </c>
      <c r="H75" s="1485">
        <v>-881701.69</v>
      </c>
      <c r="I75" s="846" t="s">
        <v>328</v>
      </c>
      <c r="J75" s="843">
        <f t="shared" si="8"/>
        <v>-881701.69</v>
      </c>
      <c r="K75" s="278" t="str">
        <f t="shared" si="5"/>
        <v xml:space="preserve"> </v>
      </c>
      <c r="L75" s="278" t="str">
        <f t="shared" si="6"/>
        <v xml:space="preserve"> </v>
      </c>
      <c r="M75" s="843" t="str">
        <f t="shared" si="7"/>
        <v xml:space="preserve"> </v>
      </c>
      <c r="N75" s="843" t="str">
        <f t="shared" si="9"/>
        <v xml:space="preserve"> </v>
      </c>
    </row>
    <row r="76" spans="3:14">
      <c r="C76" s="844" t="s">
        <v>870</v>
      </c>
      <c r="D76" s="1274" t="s">
        <v>375</v>
      </c>
      <c r="E76" s="855" t="s">
        <v>1342</v>
      </c>
      <c r="F76" s="1270"/>
      <c r="G76" s="855" t="s">
        <v>1343</v>
      </c>
      <c r="H76" s="1485">
        <v>0</v>
      </c>
      <c r="I76" s="846" t="s">
        <v>328</v>
      </c>
      <c r="J76" s="843">
        <f t="shared" si="8"/>
        <v>0</v>
      </c>
      <c r="K76" s="278" t="str">
        <f t="shared" si="5"/>
        <v xml:space="preserve"> </v>
      </c>
      <c r="L76" s="278" t="str">
        <f t="shared" si="6"/>
        <v xml:space="preserve"> </v>
      </c>
      <c r="M76" s="843" t="str">
        <f t="shared" si="7"/>
        <v xml:space="preserve"> </v>
      </c>
      <c r="N76" s="843" t="str">
        <f t="shared" si="9"/>
        <v xml:space="preserve"> </v>
      </c>
    </row>
    <row r="77" spans="3:14">
      <c r="C77" s="844" t="s">
        <v>870</v>
      </c>
      <c r="D77" s="1274" t="s">
        <v>375</v>
      </c>
      <c r="E77" s="855" t="s">
        <v>1344</v>
      </c>
      <c r="F77" s="1270"/>
      <c r="G77" s="855" t="s">
        <v>1345</v>
      </c>
      <c r="H77" s="1485">
        <v>-13967511.15</v>
      </c>
      <c r="I77" s="846" t="s">
        <v>328</v>
      </c>
      <c r="J77" s="843">
        <f t="shared" si="8"/>
        <v>-13967511.15</v>
      </c>
      <c r="K77" s="278" t="str">
        <f t="shared" si="5"/>
        <v xml:space="preserve"> </v>
      </c>
      <c r="L77" s="278" t="str">
        <f t="shared" si="6"/>
        <v xml:space="preserve"> </v>
      </c>
      <c r="M77" s="843" t="str">
        <f t="shared" si="7"/>
        <v xml:space="preserve"> </v>
      </c>
      <c r="N77" s="843" t="str">
        <f t="shared" si="9"/>
        <v xml:space="preserve"> </v>
      </c>
    </row>
    <row r="78" spans="3:14">
      <c r="C78" s="844" t="s">
        <v>870</v>
      </c>
      <c r="D78" s="1274" t="s">
        <v>375</v>
      </c>
      <c r="E78" s="855" t="s">
        <v>1346</v>
      </c>
      <c r="F78" s="1270"/>
      <c r="G78" s="855" t="s">
        <v>1347</v>
      </c>
      <c r="H78" s="1485">
        <v>6559566.7599999998</v>
      </c>
      <c r="I78" s="846" t="s">
        <v>328</v>
      </c>
      <c r="J78" s="843">
        <f t="shared" si="8"/>
        <v>6559566.7599999998</v>
      </c>
      <c r="K78" s="278" t="str">
        <f t="shared" si="5"/>
        <v xml:space="preserve"> </v>
      </c>
      <c r="L78" s="278" t="str">
        <f t="shared" si="6"/>
        <v xml:space="preserve"> </v>
      </c>
      <c r="M78" s="843" t="str">
        <f t="shared" si="7"/>
        <v xml:space="preserve"> </v>
      </c>
      <c r="N78" s="843" t="str">
        <f t="shared" si="9"/>
        <v xml:space="preserve"> </v>
      </c>
    </row>
    <row r="79" spans="3:14">
      <c r="C79" s="844" t="s">
        <v>870</v>
      </c>
      <c r="D79" s="1274" t="s">
        <v>375</v>
      </c>
      <c r="E79" s="855" t="s">
        <v>1348</v>
      </c>
      <c r="F79" s="1270"/>
      <c r="G79" s="855" t="s">
        <v>1349</v>
      </c>
      <c r="H79" s="1485">
        <v>-514207.28</v>
      </c>
      <c r="I79" s="846" t="s">
        <v>328</v>
      </c>
      <c r="J79" s="843">
        <f t="shared" si="8"/>
        <v>-514207.28</v>
      </c>
      <c r="K79" s="278" t="str">
        <f t="shared" si="5"/>
        <v xml:space="preserve"> </v>
      </c>
      <c r="L79" s="278" t="str">
        <f t="shared" si="6"/>
        <v xml:space="preserve"> </v>
      </c>
      <c r="M79" s="843" t="str">
        <f t="shared" si="7"/>
        <v xml:space="preserve"> </v>
      </c>
      <c r="N79" s="843" t="str">
        <f t="shared" si="9"/>
        <v xml:space="preserve"> </v>
      </c>
    </row>
    <row r="80" spans="3:14">
      <c r="C80" s="844" t="s">
        <v>870</v>
      </c>
      <c r="D80" s="1274" t="s">
        <v>375</v>
      </c>
      <c r="E80" s="855" t="s">
        <v>1350</v>
      </c>
      <c r="F80" s="1270"/>
      <c r="G80" s="855" t="s">
        <v>1351</v>
      </c>
      <c r="H80" s="1485">
        <v>0</v>
      </c>
      <c r="I80" s="846" t="s">
        <v>328</v>
      </c>
      <c r="J80" s="843">
        <f t="shared" si="8"/>
        <v>0</v>
      </c>
      <c r="K80" s="278" t="str">
        <f t="shared" si="5"/>
        <v xml:space="preserve"> </v>
      </c>
      <c r="L80" s="278" t="str">
        <f t="shared" si="6"/>
        <v xml:space="preserve"> </v>
      </c>
      <c r="M80" s="843" t="str">
        <f t="shared" si="7"/>
        <v xml:space="preserve"> </v>
      </c>
      <c r="N80" s="843" t="str">
        <f t="shared" si="9"/>
        <v xml:space="preserve"> </v>
      </c>
    </row>
    <row r="81" spans="3:14">
      <c r="C81" s="844" t="s">
        <v>870</v>
      </c>
      <c r="D81" s="1274" t="s">
        <v>375</v>
      </c>
      <c r="E81" s="855" t="s">
        <v>1352</v>
      </c>
      <c r="F81" s="1270"/>
      <c r="G81" s="855" t="s">
        <v>1353</v>
      </c>
      <c r="H81" s="1485">
        <v>-9481963</v>
      </c>
      <c r="I81" s="846" t="s">
        <v>328</v>
      </c>
      <c r="J81" s="843">
        <f t="shared" si="8"/>
        <v>-9481963</v>
      </c>
      <c r="K81" s="278" t="str">
        <f t="shared" si="5"/>
        <v xml:space="preserve"> </v>
      </c>
      <c r="L81" s="278" t="str">
        <f t="shared" si="6"/>
        <v xml:space="preserve"> </v>
      </c>
      <c r="M81" s="843" t="str">
        <f t="shared" si="7"/>
        <v xml:space="preserve"> </v>
      </c>
      <c r="N81" s="843" t="str">
        <f t="shared" si="9"/>
        <v xml:space="preserve"> </v>
      </c>
    </row>
    <row r="82" spans="3:14">
      <c r="C82" s="844" t="s">
        <v>870</v>
      </c>
      <c r="D82" s="1274" t="s">
        <v>375</v>
      </c>
      <c r="E82" s="855" t="s">
        <v>1354</v>
      </c>
      <c r="F82" s="1270"/>
      <c r="G82" s="855" t="s">
        <v>1355</v>
      </c>
      <c r="H82" s="1485">
        <v>3284346.33</v>
      </c>
      <c r="I82" s="846" t="s">
        <v>328</v>
      </c>
      <c r="J82" s="843">
        <f t="shared" si="8"/>
        <v>3284346.33</v>
      </c>
      <c r="K82" s="278" t="str">
        <f t="shared" si="5"/>
        <v xml:space="preserve"> </v>
      </c>
      <c r="L82" s="278" t="str">
        <f t="shared" si="6"/>
        <v xml:space="preserve"> </v>
      </c>
      <c r="M82" s="843" t="str">
        <f t="shared" si="7"/>
        <v xml:space="preserve"> </v>
      </c>
      <c r="N82" s="843" t="str">
        <f t="shared" si="9"/>
        <v xml:space="preserve"> </v>
      </c>
    </row>
    <row r="83" spans="3:14">
      <c r="C83" s="844" t="s">
        <v>870</v>
      </c>
      <c r="D83" s="1274"/>
      <c r="E83" s="855" t="s">
        <v>1501</v>
      </c>
      <c r="F83" s="1270"/>
      <c r="G83" s="855" t="s">
        <v>1502</v>
      </c>
      <c r="H83" s="1485">
        <v>0</v>
      </c>
      <c r="I83" s="846" t="s">
        <v>328</v>
      </c>
      <c r="J83" s="843">
        <f t="shared" si="8"/>
        <v>0</v>
      </c>
      <c r="K83" s="278" t="str">
        <f t="shared" si="5"/>
        <v xml:space="preserve"> </v>
      </c>
      <c r="L83" s="278" t="str">
        <f t="shared" si="6"/>
        <v xml:space="preserve"> </v>
      </c>
      <c r="M83" s="843" t="str">
        <f t="shared" si="7"/>
        <v xml:space="preserve"> </v>
      </c>
      <c r="N83" s="843" t="str">
        <f t="shared" si="9"/>
        <v xml:space="preserve"> </v>
      </c>
    </row>
    <row r="84" spans="3:14">
      <c r="C84" s="844" t="s">
        <v>870</v>
      </c>
      <c r="D84" s="1274"/>
      <c r="E84" s="855" t="s">
        <v>1503</v>
      </c>
      <c r="F84" s="1270"/>
      <c r="G84" s="855" t="s">
        <v>1504</v>
      </c>
      <c r="H84" s="1485">
        <v>-93950.85</v>
      </c>
      <c r="I84" s="846" t="s">
        <v>328</v>
      </c>
      <c r="J84" s="843">
        <f t="shared" si="8"/>
        <v>-93950.85</v>
      </c>
      <c r="K84" s="278" t="str">
        <f t="shared" si="5"/>
        <v xml:space="preserve"> </v>
      </c>
      <c r="L84" s="278" t="str">
        <f t="shared" si="6"/>
        <v xml:space="preserve"> </v>
      </c>
      <c r="M84" s="843" t="str">
        <f t="shared" si="7"/>
        <v xml:space="preserve"> </v>
      </c>
      <c r="N84" s="843" t="str">
        <f t="shared" si="9"/>
        <v xml:space="preserve"> </v>
      </c>
    </row>
    <row r="85" spans="3:14">
      <c r="C85" s="844" t="s">
        <v>870</v>
      </c>
      <c r="D85" s="1274"/>
      <c r="E85" s="855" t="s">
        <v>1532</v>
      </c>
      <c r="F85" s="1270"/>
      <c r="G85" s="855" t="s">
        <v>1548</v>
      </c>
      <c r="H85" s="1485">
        <v>-16447162.460000001</v>
      </c>
      <c r="I85" s="846" t="s">
        <v>328</v>
      </c>
      <c r="J85" s="843">
        <f t="shared" si="8"/>
        <v>-16447162.460000001</v>
      </c>
      <c r="K85" s="278" t="str">
        <f t="shared" si="5"/>
        <v xml:space="preserve"> </v>
      </c>
      <c r="L85" s="278" t="str">
        <f t="shared" si="6"/>
        <v xml:space="preserve"> </v>
      </c>
      <c r="M85" s="843" t="str">
        <f t="shared" si="7"/>
        <v xml:space="preserve"> </v>
      </c>
      <c r="N85" s="843" t="str">
        <f t="shared" si="9"/>
        <v xml:space="preserve"> </v>
      </c>
    </row>
    <row r="86" spans="3:14">
      <c r="C86" s="844" t="s">
        <v>870</v>
      </c>
      <c r="D86" s="1274"/>
      <c r="E86" s="855" t="s">
        <v>1531</v>
      </c>
      <c r="F86" s="1270"/>
      <c r="G86" s="855" t="s">
        <v>1516</v>
      </c>
      <c r="H86" s="1485">
        <v>2895.83</v>
      </c>
      <c r="I86" s="846" t="s">
        <v>328</v>
      </c>
      <c r="J86" s="843">
        <f t="shared" si="8"/>
        <v>2895.83</v>
      </c>
      <c r="K86" s="278" t="str">
        <f t="shared" si="5"/>
        <v xml:space="preserve"> </v>
      </c>
      <c r="L86" s="278" t="str">
        <f t="shared" si="6"/>
        <v xml:space="preserve"> </v>
      </c>
      <c r="M86" s="843" t="str">
        <f t="shared" si="7"/>
        <v xml:space="preserve"> </v>
      </c>
      <c r="N86" s="843" t="str">
        <f t="shared" si="9"/>
        <v xml:space="preserve"> </v>
      </c>
    </row>
    <row r="87" spans="3:14">
      <c r="C87" s="844" t="s">
        <v>870</v>
      </c>
      <c r="D87" s="1274" t="s">
        <v>375</v>
      </c>
      <c r="E87" s="855" t="s">
        <v>1060</v>
      </c>
      <c r="F87" s="1270"/>
      <c r="G87" s="855" t="s">
        <v>899</v>
      </c>
      <c r="H87" s="1485">
        <v>-936041.88</v>
      </c>
      <c r="I87" s="846" t="s">
        <v>184</v>
      </c>
      <c r="J87" s="843" t="str">
        <f t="shared" si="8"/>
        <v xml:space="preserve"> </v>
      </c>
      <c r="K87" s="278" t="str">
        <f t="shared" si="5"/>
        <v xml:space="preserve"> </v>
      </c>
      <c r="L87" s="278">
        <f t="shared" si="6"/>
        <v>-936041.88</v>
      </c>
      <c r="M87" s="843" t="str">
        <f t="shared" si="7"/>
        <v xml:space="preserve"> </v>
      </c>
      <c r="N87" s="843" t="str">
        <f t="shared" si="9"/>
        <v xml:space="preserve"> </v>
      </c>
    </row>
    <row r="88" spans="3:14">
      <c r="C88" s="844" t="s">
        <v>870</v>
      </c>
      <c r="D88" s="1274" t="s">
        <v>375</v>
      </c>
      <c r="E88" s="855" t="s">
        <v>1061</v>
      </c>
      <c r="F88" s="1270"/>
      <c r="G88" s="855" t="s">
        <v>901</v>
      </c>
      <c r="H88" s="1485">
        <v>-4587562.91</v>
      </c>
      <c r="I88" s="846" t="s">
        <v>328</v>
      </c>
      <c r="J88" s="843">
        <f t="shared" si="8"/>
        <v>-4587562.91</v>
      </c>
      <c r="K88" s="278" t="str">
        <f t="shared" si="5"/>
        <v xml:space="preserve"> </v>
      </c>
      <c r="L88" s="278" t="str">
        <f t="shared" si="6"/>
        <v xml:space="preserve"> </v>
      </c>
      <c r="M88" s="843" t="str">
        <f t="shared" si="7"/>
        <v xml:space="preserve"> </v>
      </c>
      <c r="N88" s="843" t="str">
        <f t="shared" si="9"/>
        <v xml:space="preserve"> </v>
      </c>
    </row>
    <row r="89" spans="3:14">
      <c r="C89" s="844" t="s">
        <v>870</v>
      </c>
      <c r="D89" s="1274" t="s">
        <v>375</v>
      </c>
      <c r="E89" s="855" t="s">
        <v>1062</v>
      </c>
      <c r="F89" s="1270"/>
      <c r="G89" s="855" t="s">
        <v>902</v>
      </c>
      <c r="H89" s="1485">
        <v>3075789.99</v>
      </c>
      <c r="I89" s="846" t="s">
        <v>328</v>
      </c>
      <c r="J89" s="843">
        <f t="shared" si="8"/>
        <v>3075789.99</v>
      </c>
      <c r="K89" s="278" t="str">
        <f t="shared" si="5"/>
        <v xml:space="preserve"> </v>
      </c>
      <c r="L89" s="278" t="str">
        <f t="shared" si="6"/>
        <v xml:space="preserve"> </v>
      </c>
      <c r="M89" s="843" t="str">
        <f t="shared" si="7"/>
        <v xml:space="preserve"> </v>
      </c>
      <c r="N89" s="843" t="str">
        <f t="shared" si="9"/>
        <v xml:space="preserve"> </v>
      </c>
    </row>
    <row r="90" spans="3:14">
      <c r="C90" s="844" t="s">
        <v>870</v>
      </c>
      <c r="D90" s="1274"/>
      <c r="E90" s="855" t="s">
        <v>1063</v>
      </c>
      <c r="F90" s="1270"/>
      <c r="G90" s="855" t="s">
        <v>904</v>
      </c>
      <c r="H90" s="1485">
        <v>-643013.46</v>
      </c>
      <c r="I90" s="846" t="s">
        <v>328</v>
      </c>
      <c r="J90" s="843">
        <f t="shared" si="8"/>
        <v>-643013.46</v>
      </c>
      <c r="K90" s="278" t="str">
        <f t="shared" si="5"/>
        <v xml:space="preserve"> </v>
      </c>
      <c r="L90" s="278" t="str">
        <f t="shared" si="6"/>
        <v xml:space="preserve"> </v>
      </c>
      <c r="M90" s="843" t="str">
        <f t="shared" si="7"/>
        <v xml:space="preserve"> </v>
      </c>
      <c r="N90" s="843" t="str">
        <f t="shared" si="9"/>
        <v xml:space="preserve"> </v>
      </c>
    </row>
    <row r="91" spans="3:14">
      <c r="C91" s="1480" t="s">
        <v>870</v>
      </c>
      <c r="D91" s="1487" t="s">
        <v>375</v>
      </c>
      <c r="E91" s="1482" t="s">
        <v>1064</v>
      </c>
      <c r="F91" s="1481"/>
      <c r="G91" s="1482" t="s">
        <v>905</v>
      </c>
      <c r="H91" s="1485">
        <v>0.04</v>
      </c>
      <c r="I91" s="846" t="s">
        <v>328</v>
      </c>
      <c r="J91" s="843">
        <f t="shared" si="8"/>
        <v>0.04</v>
      </c>
      <c r="K91" s="278" t="str">
        <f t="shared" si="5"/>
        <v xml:space="preserve"> </v>
      </c>
      <c r="L91" s="278" t="str">
        <f t="shared" si="6"/>
        <v xml:space="preserve"> </v>
      </c>
      <c r="M91" s="843" t="str">
        <f t="shared" si="7"/>
        <v xml:space="preserve"> </v>
      </c>
      <c r="N91" s="843" t="str">
        <f t="shared" si="9"/>
        <v xml:space="preserve"> </v>
      </c>
    </row>
    <row r="92" spans="3:14">
      <c r="C92" s="1480" t="s">
        <v>870</v>
      </c>
      <c r="D92" s="1487"/>
      <c r="E92" s="1482" t="s">
        <v>1530</v>
      </c>
      <c r="F92" s="1481"/>
      <c r="G92" s="855" t="s">
        <v>1549</v>
      </c>
      <c r="H92" s="1485">
        <v>-3158434</v>
      </c>
      <c r="I92" s="846" t="s">
        <v>328</v>
      </c>
      <c r="J92" s="843">
        <f t="shared" si="8"/>
        <v>-3158434</v>
      </c>
      <c r="K92" s="278" t="str">
        <f t="shared" si="5"/>
        <v xml:space="preserve"> </v>
      </c>
      <c r="L92" s="278" t="str">
        <f t="shared" si="6"/>
        <v xml:space="preserve"> </v>
      </c>
      <c r="M92" s="843" t="str">
        <f t="shared" si="7"/>
        <v xml:space="preserve"> </v>
      </c>
      <c r="N92" s="843" t="str">
        <f t="shared" si="9"/>
        <v xml:space="preserve"> </v>
      </c>
    </row>
    <row r="93" spans="3:14">
      <c r="C93" s="844" t="s">
        <v>870</v>
      </c>
      <c r="D93" s="1274"/>
      <c r="E93" s="1482" t="s">
        <v>1356</v>
      </c>
      <c r="F93" s="1481"/>
      <c r="G93" s="855" t="s">
        <v>1357</v>
      </c>
      <c r="H93" s="1485">
        <v>-1257375</v>
      </c>
      <c r="I93" s="846" t="s">
        <v>328</v>
      </c>
      <c r="J93" s="843">
        <f t="shared" si="8"/>
        <v>-1257375</v>
      </c>
      <c r="K93" s="278" t="str">
        <f t="shared" si="5"/>
        <v xml:space="preserve"> </v>
      </c>
      <c r="L93" s="278" t="str">
        <f t="shared" si="6"/>
        <v xml:space="preserve"> </v>
      </c>
      <c r="M93" s="843" t="str">
        <f t="shared" si="7"/>
        <v xml:space="preserve"> </v>
      </c>
      <c r="N93" s="843" t="str">
        <f t="shared" si="9"/>
        <v xml:space="preserve"> </v>
      </c>
    </row>
    <row r="94" spans="3:14">
      <c r="C94" s="844" t="s">
        <v>870</v>
      </c>
      <c r="D94" s="1272"/>
      <c r="E94" s="1482"/>
      <c r="F94" s="1481"/>
      <c r="G94" s="855" t="s">
        <v>1619</v>
      </c>
      <c r="H94" s="1485">
        <v>-1027081</v>
      </c>
      <c r="I94" s="846" t="s">
        <v>328</v>
      </c>
      <c r="J94" s="843">
        <f>IF(I94="e",H94," ")</f>
        <v>-1027081</v>
      </c>
      <c r="K94" s="278" t="str">
        <f t="shared" si="5"/>
        <v xml:space="preserve"> </v>
      </c>
      <c r="L94" s="278" t="str">
        <f t="shared" si="6"/>
        <v xml:space="preserve"> </v>
      </c>
      <c r="M94" s="843" t="str">
        <f t="shared" si="7"/>
        <v xml:space="preserve"> </v>
      </c>
      <c r="N94" s="843" t="str">
        <f>IF(I94="Labor",H94," ")</f>
        <v xml:space="preserve"> </v>
      </c>
    </row>
    <row r="95" spans="3:14">
      <c r="C95" s="844"/>
      <c r="D95" s="1274"/>
      <c r="E95" s="855"/>
      <c r="F95" s="1270"/>
      <c r="G95" s="855"/>
      <c r="H95" s="1485"/>
      <c r="I95" s="846"/>
      <c r="J95" s="843" t="str">
        <f t="shared" si="8"/>
        <v xml:space="preserve"> </v>
      </c>
      <c r="K95" s="278" t="str">
        <f t="shared" si="5"/>
        <v xml:space="preserve"> </v>
      </c>
      <c r="L95" s="278" t="str">
        <f t="shared" si="6"/>
        <v xml:space="preserve"> </v>
      </c>
      <c r="M95" s="843" t="str">
        <f t="shared" si="7"/>
        <v xml:space="preserve"> </v>
      </c>
      <c r="N95" s="843" t="str">
        <f t="shared" si="9"/>
        <v xml:space="preserve"> </v>
      </c>
    </row>
    <row r="96" spans="3:14">
      <c r="C96" s="844">
        <v>2831002</v>
      </c>
      <c r="D96" s="1274" t="s">
        <v>375</v>
      </c>
      <c r="E96" s="855" t="s">
        <v>1065</v>
      </c>
      <c r="F96" s="1270"/>
      <c r="G96" s="855" t="s">
        <v>995</v>
      </c>
      <c r="H96" s="1485">
        <v>-171017751.13999999</v>
      </c>
      <c r="I96" s="846" t="s">
        <v>184</v>
      </c>
      <c r="J96" s="843" t="str">
        <f t="shared" si="8"/>
        <v xml:space="preserve"> </v>
      </c>
      <c r="K96" s="278" t="str">
        <f t="shared" si="5"/>
        <v xml:space="preserve"> </v>
      </c>
      <c r="L96" s="278">
        <f t="shared" si="6"/>
        <v>-171017751.13999999</v>
      </c>
      <c r="M96" s="843" t="str">
        <f t="shared" si="7"/>
        <v xml:space="preserve"> </v>
      </c>
      <c r="N96" s="843" t="str">
        <f t="shared" si="9"/>
        <v xml:space="preserve"> </v>
      </c>
    </row>
    <row r="97" spans="3:15">
      <c r="C97" s="844"/>
      <c r="D97" s="1274"/>
      <c r="E97" s="855"/>
      <c r="F97" s="1270"/>
      <c r="G97" s="855"/>
      <c r="H97" s="1485"/>
      <c r="I97" s="846"/>
      <c r="J97" s="843" t="str">
        <f t="shared" si="8"/>
        <v xml:space="preserve"> </v>
      </c>
      <c r="K97" s="278" t="str">
        <f t="shared" si="5"/>
        <v xml:space="preserve"> </v>
      </c>
      <c r="L97" s="278" t="str">
        <f t="shared" si="6"/>
        <v xml:space="preserve"> </v>
      </c>
      <c r="M97" s="843" t="str">
        <f t="shared" si="7"/>
        <v xml:space="preserve"> </v>
      </c>
      <c r="N97" s="843" t="str">
        <f t="shared" si="9"/>
        <v xml:space="preserve"> </v>
      </c>
    </row>
    <row r="98" spans="3:15">
      <c r="C98" s="844"/>
      <c r="D98" s="1274"/>
      <c r="E98" s="855"/>
      <c r="F98" s="1270"/>
      <c r="G98" s="855" t="s">
        <v>1470</v>
      </c>
      <c r="H98" s="848">
        <v>0</v>
      </c>
      <c r="I98" s="846"/>
      <c r="J98" s="848">
        <v>0</v>
      </c>
      <c r="K98" s="848"/>
      <c r="L98" s="848">
        <v>0</v>
      </c>
      <c r="M98" s="848"/>
      <c r="N98" s="848">
        <v>0</v>
      </c>
    </row>
    <row r="99" spans="3:15">
      <c r="C99" s="844"/>
      <c r="D99" s="1272"/>
      <c r="E99" s="855"/>
      <c r="F99"/>
      <c r="G99" s="855"/>
      <c r="H99" s="1485"/>
      <c r="I99" s="846"/>
      <c r="J99" s="843" t="str">
        <f t="shared" si="8"/>
        <v xml:space="preserve"> </v>
      </c>
      <c r="K99" s="278" t="str">
        <f t="shared" si="5"/>
        <v xml:space="preserve"> </v>
      </c>
      <c r="L99" s="278" t="str">
        <f t="shared" si="6"/>
        <v xml:space="preserve"> </v>
      </c>
      <c r="M99" s="843" t="str">
        <f t="shared" si="7"/>
        <v xml:space="preserve"> </v>
      </c>
      <c r="N99" s="843" t="str">
        <f t="shared" si="9"/>
        <v xml:space="preserve"> </v>
      </c>
    </row>
    <row r="100" spans="3:15">
      <c r="D100" s="38"/>
      <c r="H100" s="278"/>
      <c r="I100" s="278"/>
      <c r="J100" s="279" t="str">
        <f>IF(I100="e",H100," ")</f>
        <v xml:space="preserve"> </v>
      </c>
      <c r="K100" s="279"/>
      <c r="L100" s="279" t="str">
        <f>IF($I100="PTD",$H100," ")</f>
        <v xml:space="preserve"> </v>
      </c>
      <c r="M100" s="279" t="str">
        <f>IF($I100="T&amp;D",$H100," ")</f>
        <v xml:space="preserve"> </v>
      </c>
      <c r="N100" s="279" t="str">
        <f>IF(I100="Labor",H100," ")</f>
        <v xml:space="preserve"> </v>
      </c>
    </row>
    <row r="101" spans="3:15">
      <c r="C101" s="706">
        <v>283.10000000000002</v>
      </c>
      <c r="D101" s="38"/>
      <c r="G101" s="194" t="s">
        <v>185</v>
      </c>
      <c r="H101" s="677">
        <f>SUM(H54:H100)</f>
        <v>-244171628.19999999</v>
      </c>
      <c r="I101" s="278"/>
      <c r="J101" s="677">
        <f>SUM(J54:J100)</f>
        <v>-55646455.910000004</v>
      </c>
      <c r="K101" s="677">
        <f>SUM(K54:K100)</f>
        <v>0</v>
      </c>
      <c r="L101" s="677">
        <f>SUM(L54:L100)</f>
        <v>-171681551.25999999</v>
      </c>
      <c r="M101" s="677">
        <f>SUM(M54:M100)</f>
        <v>0</v>
      </c>
      <c r="N101" s="677">
        <f>SUM(N54:N100)</f>
        <v>-16843621.030000001</v>
      </c>
      <c r="O101" s="674"/>
    </row>
    <row r="102" spans="3:15" ht="25.5" customHeight="1">
      <c r="C102" s="672"/>
      <c r="D102" s="38"/>
      <c r="G102" s="1271" t="s">
        <v>130</v>
      </c>
      <c r="H102" s="841"/>
      <c r="I102" s="278"/>
      <c r="J102" s="675"/>
      <c r="K102" s="678"/>
      <c r="L102" s="678"/>
      <c r="M102" s="678"/>
      <c r="N102" s="678"/>
    </row>
    <row r="103" spans="3:15">
      <c r="G103" s="268"/>
      <c r="H103" s="279"/>
      <c r="I103" s="278"/>
      <c r="J103" s="278"/>
      <c r="K103" s="278"/>
      <c r="L103" s="278"/>
      <c r="M103" s="278"/>
      <c r="N103" s="278"/>
    </row>
    <row r="104" spans="3:15">
      <c r="H104" s="279"/>
      <c r="I104" s="278"/>
      <c r="J104" s="278"/>
      <c r="K104" s="278"/>
      <c r="L104" s="278"/>
      <c r="M104" s="278"/>
      <c r="N104" s="278"/>
    </row>
    <row r="105" spans="3:15">
      <c r="C105" s="844" t="s">
        <v>909</v>
      </c>
      <c r="D105" s="1277" t="s">
        <v>375</v>
      </c>
      <c r="E105" s="855" t="s">
        <v>910</v>
      </c>
      <c r="F105" s="1270"/>
      <c r="G105" s="855" t="s">
        <v>911</v>
      </c>
      <c r="H105" s="1485">
        <v>-659755</v>
      </c>
      <c r="I105" s="846" t="s">
        <v>328</v>
      </c>
      <c r="J105" s="843">
        <f>IF(I105="e",H105," ")</f>
        <v>-659755</v>
      </c>
      <c r="K105" s="278" t="str">
        <f t="shared" ref="K105:K160" si="10">IF($I105="T",$H105," ")</f>
        <v xml:space="preserve"> </v>
      </c>
      <c r="L105" s="278" t="str">
        <f t="shared" ref="L105:L160" si="11">IF($I105="PTD",$H105," ")</f>
        <v xml:space="preserve"> </v>
      </c>
      <c r="M105" s="843" t="str">
        <f t="shared" ref="M105:M160" si="12">IF($I105="T&amp;D",$H105," ")</f>
        <v xml:space="preserve"> </v>
      </c>
      <c r="N105" s="843" t="str">
        <f>IF(I105="Labor",H105," ")</f>
        <v xml:space="preserve"> </v>
      </c>
    </row>
    <row r="106" spans="3:15">
      <c r="C106" s="844" t="s">
        <v>909</v>
      </c>
      <c r="D106" s="1277" t="s">
        <v>375</v>
      </c>
      <c r="E106" s="855" t="s">
        <v>1066</v>
      </c>
      <c r="F106" s="1270"/>
      <c r="G106" s="855" t="s">
        <v>912</v>
      </c>
      <c r="H106" s="1485">
        <v>659755</v>
      </c>
      <c r="I106" s="846" t="s">
        <v>328</v>
      </c>
      <c r="J106" s="843">
        <f t="shared" ref="J106:J160" si="13">IF(I106="e",H106," ")</f>
        <v>659755</v>
      </c>
      <c r="K106" s="278" t="str">
        <f t="shared" si="10"/>
        <v xml:space="preserve"> </v>
      </c>
      <c r="L106" s="278" t="str">
        <f t="shared" si="11"/>
        <v xml:space="preserve"> </v>
      </c>
      <c r="M106" s="843" t="str">
        <f t="shared" si="12"/>
        <v xml:space="preserve"> </v>
      </c>
      <c r="N106" s="843" t="str">
        <f t="shared" ref="N106:N160" si="14">IF(I106="Labor",H106," ")</f>
        <v xml:space="preserve"> </v>
      </c>
    </row>
    <row r="107" spans="3:15">
      <c r="C107" s="844" t="s">
        <v>909</v>
      </c>
      <c r="D107" s="1277" t="s">
        <v>375</v>
      </c>
      <c r="E107" s="855" t="s">
        <v>1328</v>
      </c>
      <c r="F107" s="1270"/>
      <c r="G107" s="855" t="s">
        <v>1358</v>
      </c>
      <c r="H107" s="1485">
        <v>4502585.66</v>
      </c>
      <c r="I107" s="846" t="s">
        <v>328</v>
      </c>
      <c r="J107" s="843">
        <f t="shared" si="13"/>
        <v>4502585.66</v>
      </c>
      <c r="K107" s="278" t="str">
        <f t="shared" si="10"/>
        <v xml:space="preserve"> </v>
      </c>
      <c r="L107" s="278" t="str">
        <f t="shared" si="11"/>
        <v xml:space="preserve"> </v>
      </c>
      <c r="M107" s="843" t="str">
        <f t="shared" si="12"/>
        <v xml:space="preserve"> </v>
      </c>
      <c r="N107" s="843" t="str">
        <f t="shared" si="14"/>
        <v xml:space="preserve"> </v>
      </c>
    </row>
    <row r="108" spans="3:15">
      <c r="C108" s="844" t="s">
        <v>909</v>
      </c>
      <c r="D108" s="1277" t="s">
        <v>375</v>
      </c>
      <c r="E108" s="855" t="s">
        <v>1359</v>
      </c>
      <c r="F108" s="1270"/>
      <c r="G108" s="855" t="s">
        <v>1360</v>
      </c>
      <c r="H108" s="1485">
        <v>133485.53</v>
      </c>
      <c r="I108" s="846" t="s">
        <v>328</v>
      </c>
      <c r="J108" s="843">
        <f t="shared" si="13"/>
        <v>133485.53</v>
      </c>
      <c r="K108" s="278" t="str">
        <f t="shared" si="10"/>
        <v xml:space="preserve"> </v>
      </c>
      <c r="L108" s="278" t="str">
        <f t="shared" si="11"/>
        <v xml:space="preserve"> </v>
      </c>
      <c r="M108" s="843" t="str">
        <f t="shared" si="12"/>
        <v xml:space="preserve"> </v>
      </c>
      <c r="N108" s="843" t="str">
        <f t="shared" si="14"/>
        <v xml:space="preserve"> </v>
      </c>
    </row>
    <row r="109" spans="3:15">
      <c r="C109" s="844" t="s">
        <v>909</v>
      </c>
      <c r="D109" s="1277" t="s">
        <v>375</v>
      </c>
      <c r="E109" s="855" t="s">
        <v>921</v>
      </c>
      <c r="F109" s="1270"/>
      <c r="G109" s="855" t="s">
        <v>922</v>
      </c>
      <c r="H109" s="1485">
        <v>3689031.62</v>
      </c>
      <c r="I109" s="846" t="s">
        <v>328</v>
      </c>
      <c r="J109" s="843">
        <f t="shared" si="13"/>
        <v>3689031.62</v>
      </c>
      <c r="K109" s="278" t="str">
        <f t="shared" si="10"/>
        <v xml:space="preserve"> </v>
      </c>
      <c r="L109" s="278" t="str">
        <f t="shared" si="11"/>
        <v xml:space="preserve"> </v>
      </c>
      <c r="M109" s="843" t="str">
        <f t="shared" si="12"/>
        <v xml:space="preserve"> </v>
      </c>
      <c r="N109" s="843" t="str">
        <f t="shared" si="14"/>
        <v xml:space="preserve"> </v>
      </c>
    </row>
    <row r="110" spans="3:15">
      <c r="C110" s="844" t="s">
        <v>909</v>
      </c>
      <c r="D110" s="1277" t="s">
        <v>375</v>
      </c>
      <c r="E110" s="855" t="s">
        <v>923</v>
      </c>
      <c r="F110" s="1270"/>
      <c r="G110" s="855" t="s">
        <v>924</v>
      </c>
      <c r="H110" s="1485">
        <v>2064394.77</v>
      </c>
      <c r="I110" s="846" t="s">
        <v>184</v>
      </c>
      <c r="J110" s="843" t="str">
        <f t="shared" si="13"/>
        <v xml:space="preserve"> </v>
      </c>
      <c r="K110" s="278" t="str">
        <f t="shared" si="10"/>
        <v xml:space="preserve"> </v>
      </c>
      <c r="L110" s="278">
        <f t="shared" si="11"/>
        <v>2064394.77</v>
      </c>
      <c r="M110" s="843" t="str">
        <f t="shared" si="12"/>
        <v xml:space="preserve"> </v>
      </c>
      <c r="N110" s="843" t="str">
        <f t="shared" si="14"/>
        <v xml:space="preserve"> </v>
      </c>
    </row>
    <row r="111" spans="3:15">
      <c r="C111" s="844" t="s">
        <v>909</v>
      </c>
      <c r="D111" s="1277"/>
      <c r="E111" s="855" t="s">
        <v>1542</v>
      </c>
      <c r="F111" s="1270"/>
      <c r="G111" s="855" t="s">
        <v>1546</v>
      </c>
      <c r="H111" s="1485">
        <v>987944.53</v>
      </c>
      <c r="I111" s="846" t="s">
        <v>328</v>
      </c>
      <c r="J111" s="843">
        <f t="shared" si="13"/>
        <v>987944.53</v>
      </c>
      <c r="K111" s="278" t="str">
        <f t="shared" si="10"/>
        <v xml:space="preserve"> </v>
      </c>
      <c r="L111" s="278" t="str">
        <f t="shared" si="11"/>
        <v xml:space="preserve"> </v>
      </c>
      <c r="M111" s="843" t="str">
        <f t="shared" si="12"/>
        <v xml:space="preserve"> </v>
      </c>
      <c r="N111" s="843" t="str">
        <f t="shared" si="14"/>
        <v xml:space="preserve"> </v>
      </c>
    </row>
    <row r="112" spans="3:15">
      <c r="C112" s="844" t="s">
        <v>909</v>
      </c>
      <c r="D112" s="1277"/>
      <c r="E112" s="855" t="s">
        <v>1543</v>
      </c>
      <c r="F112" s="1270"/>
      <c r="G112" s="855" t="s">
        <v>1547</v>
      </c>
      <c r="H112" s="1485">
        <v>980579.63</v>
      </c>
      <c r="I112" s="846" t="s">
        <v>328</v>
      </c>
      <c r="J112" s="843">
        <f t="shared" si="13"/>
        <v>980579.63</v>
      </c>
      <c r="K112" s="278" t="str">
        <f t="shared" si="10"/>
        <v xml:space="preserve"> </v>
      </c>
      <c r="L112" s="278" t="str">
        <f t="shared" si="11"/>
        <v xml:space="preserve"> </v>
      </c>
      <c r="M112" s="843" t="str">
        <f t="shared" si="12"/>
        <v xml:space="preserve"> </v>
      </c>
      <c r="N112" s="843" t="str">
        <f t="shared" si="14"/>
        <v xml:space="preserve"> </v>
      </c>
    </row>
    <row r="113" spans="3:14">
      <c r="C113" s="844" t="s">
        <v>909</v>
      </c>
      <c r="D113" s="1277" t="s">
        <v>375</v>
      </c>
      <c r="E113" s="855" t="s">
        <v>925</v>
      </c>
      <c r="F113" s="1270"/>
      <c r="G113" s="855" t="s">
        <v>926</v>
      </c>
      <c r="H113" s="1485">
        <v>-31612.35</v>
      </c>
      <c r="I113" s="846" t="s">
        <v>328</v>
      </c>
      <c r="J113" s="843">
        <f t="shared" si="13"/>
        <v>-31612.35</v>
      </c>
      <c r="K113" s="278" t="str">
        <f t="shared" si="10"/>
        <v xml:space="preserve"> </v>
      </c>
      <c r="L113" s="278" t="str">
        <f t="shared" si="11"/>
        <v xml:space="preserve"> </v>
      </c>
      <c r="M113" s="843" t="str">
        <f t="shared" si="12"/>
        <v xml:space="preserve"> </v>
      </c>
      <c r="N113" s="843" t="str">
        <f t="shared" si="14"/>
        <v xml:space="preserve"> </v>
      </c>
    </row>
    <row r="114" spans="3:14">
      <c r="C114" s="844" t="s">
        <v>909</v>
      </c>
      <c r="D114" s="1277" t="s">
        <v>375</v>
      </c>
      <c r="E114" s="855" t="s">
        <v>927</v>
      </c>
      <c r="F114" s="1270"/>
      <c r="G114" s="855" t="s">
        <v>928</v>
      </c>
      <c r="H114" s="1485">
        <v>146764.72</v>
      </c>
      <c r="I114" s="846" t="s">
        <v>337</v>
      </c>
      <c r="J114" s="843" t="str">
        <f t="shared" si="13"/>
        <v xml:space="preserve"> </v>
      </c>
      <c r="K114" s="278" t="str">
        <f t="shared" si="10"/>
        <v xml:space="preserve"> </v>
      </c>
      <c r="L114" s="278" t="str">
        <f t="shared" si="11"/>
        <v xml:space="preserve"> </v>
      </c>
      <c r="M114" s="843" t="str">
        <f t="shared" si="12"/>
        <v xml:space="preserve"> </v>
      </c>
      <c r="N114" s="843">
        <f t="shared" si="14"/>
        <v>146764.72</v>
      </c>
    </row>
    <row r="115" spans="3:14">
      <c r="C115" s="844" t="s">
        <v>909</v>
      </c>
      <c r="D115" s="1277" t="s">
        <v>375</v>
      </c>
      <c r="E115" s="855" t="s">
        <v>929</v>
      </c>
      <c r="F115" s="1270"/>
      <c r="G115" s="855" t="s">
        <v>930</v>
      </c>
      <c r="H115" s="1485">
        <v>330469.87</v>
      </c>
      <c r="I115" s="846" t="s">
        <v>337</v>
      </c>
      <c r="J115" s="843" t="str">
        <f t="shared" si="13"/>
        <v xml:space="preserve"> </v>
      </c>
      <c r="K115" s="278" t="str">
        <f t="shared" si="10"/>
        <v xml:space="preserve"> </v>
      </c>
      <c r="L115" s="278" t="str">
        <f t="shared" si="11"/>
        <v xml:space="preserve"> </v>
      </c>
      <c r="M115" s="843" t="str">
        <f t="shared" si="12"/>
        <v xml:space="preserve"> </v>
      </c>
      <c r="N115" s="843">
        <f t="shared" si="14"/>
        <v>330469.87</v>
      </c>
    </row>
    <row r="116" spans="3:14">
      <c r="C116" s="844" t="s">
        <v>909</v>
      </c>
      <c r="D116" s="1277" t="s">
        <v>375</v>
      </c>
      <c r="E116" s="855" t="s">
        <v>931</v>
      </c>
      <c r="F116" s="1270"/>
      <c r="G116" s="855" t="s">
        <v>932</v>
      </c>
      <c r="H116" s="1485">
        <v>242682.45</v>
      </c>
      <c r="I116" s="846" t="s">
        <v>328</v>
      </c>
      <c r="J116" s="843">
        <f t="shared" si="13"/>
        <v>242682.45</v>
      </c>
      <c r="K116" s="278" t="str">
        <f t="shared" si="10"/>
        <v xml:space="preserve"> </v>
      </c>
      <c r="L116" s="278" t="str">
        <f t="shared" si="11"/>
        <v xml:space="preserve"> </v>
      </c>
      <c r="M116" s="843" t="str">
        <f t="shared" si="12"/>
        <v xml:space="preserve"> </v>
      </c>
      <c r="N116" s="843" t="str">
        <f t="shared" si="14"/>
        <v xml:space="preserve"> </v>
      </c>
    </row>
    <row r="117" spans="3:14">
      <c r="C117" s="844" t="s">
        <v>909</v>
      </c>
      <c r="D117" s="1277" t="s">
        <v>375</v>
      </c>
      <c r="E117" s="855" t="s">
        <v>933</v>
      </c>
      <c r="F117" s="1270"/>
      <c r="G117" s="855" t="s">
        <v>934</v>
      </c>
      <c r="H117" s="1485">
        <v>128059.41</v>
      </c>
      <c r="I117" s="846" t="s">
        <v>337</v>
      </c>
      <c r="J117" s="843" t="str">
        <f t="shared" si="13"/>
        <v xml:space="preserve"> </v>
      </c>
      <c r="K117" s="278" t="str">
        <f t="shared" si="10"/>
        <v xml:space="preserve"> </v>
      </c>
      <c r="L117" s="278" t="str">
        <f t="shared" si="11"/>
        <v xml:space="preserve"> </v>
      </c>
      <c r="M117" s="843" t="str">
        <f t="shared" si="12"/>
        <v xml:space="preserve"> </v>
      </c>
      <c r="N117" s="843">
        <f t="shared" si="14"/>
        <v>128059.41</v>
      </c>
    </row>
    <row r="118" spans="3:14">
      <c r="C118" s="1480" t="s">
        <v>909</v>
      </c>
      <c r="D118" s="1488" t="s">
        <v>375</v>
      </c>
      <c r="E118" s="1482" t="s">
        <v>935</v>
      </c>
      <c r="F118" s="1481"/>
      <c r="G118" s="1482" t="s">
        <v>936</v>
      </c>
      <c r="H118" s="1485">
        <v>0.08</v>
      </c>
      <c r="I118" s="846" t="s">
        <v>328</v>
      </c>
      <c r="J118" s="843">
        <f t="shared" si="13"/>
        <v>0.08</v>
      </c>
      <c r="K118" s="278" t="str">
        <f t="shared" si="10"/>
        <v xml:space="preserve"> </v>
      </c>
      <c r="L118" s="278" t="str">
        <f t="shared" si="11"/>
        <v xml:space="preserve"> </v>
      </c>
      <c r="M118" s="843" t="str">
        <f t="shared" si="12"/>
        <v xml:space="preserve"> </v>
      </c>
      <c r="N118" s="843" t="str">
        <f t="shared" si="14"/>
        <v xml:space="preserve"> </v>
      </c>
    </row>
    <row r="119" spans="3:14">
      <c r="C119" s="844" t="s">
        <v>909</v>
      </c>
      <c r="D119" s="1277" t="s">
        <v>375</v>
      </c>
      <c r="E119" s="855" t="s">
        <v>939</v>
      </c>
      <c r="F119" s="1270"/>
      <c r="G119" s="855" t="s">
        <v>940</v>
      </c>
      <c r="H119" s="1485">
        <v>198657.06</v>
      </c>
      <c r="I119" s="846" t="s">
        <v>337</v>
      </c>
      <c r="J119" s="843" t="str">
        <f t="shared" si="13"/>
        <v xml:space="preserve"> </v>
      </c>
      <c r="K119" s="278" t="str">
        <f t="shared" si="10"/>
        <v xml:space="preserve"> </v>
      </c>
      <c r="L119" s="278" t="str">
        <f t="shared" si="11"/>
        <v xml:space="preserve"> </v>
      </c>
      <c r="M119" s="843" t="str">
        <f t="shared" si="12"/>
        <v xml:space="preserve"> </v>
      </c>
      <c r="N119" s="843">
        <f t="shared" si="14"/>
        <v>198657.06</v>
      </c>
    </row>
    <row r="120" spans="3:14">
      <c r="C120" s="844" t="s">
        <v>909</v>
      </c>
      <c r="D120" s="1277"/>
      <c r="E120" s="855" t="s">
        <v>1505</v>
      </c>
      <c r="F120" s="1270"/>
      <c r="G120" s="855" t="s">
        <v>1506</v>
      </c>
      <c r="H120" s="848">
        <v>394590.11</v>
      </c>
      <c r="I120" s="846" t="s">
        <v>328</v>
      </c>
      <c r="J120" s="843">
        <f t="shared" si="13"/>
        <v>394590.11</v>
      </c>
      <c r="K120" s="278" t="str">
        <f t="shared" si="10"/>
        <v xml:space="preserve"> </v>
      </c>
      <c r="L120" s="278" t="str">
        <f t="shared" si="11"/>
        <v xml:space="preserve"> </v>
      </c>
      <c r="M120" s="843" t="str">
        <f t="shared" si="12"/>
        <v xml:space="preserve"> </v>
      </c>
      <c r="N120" s="843" t="str">
        <f t="shared" si="14"/>
        <v xml:space="preserve"> </v>
      </c>
    </row>
    <row r="121" spans="3:14">
      <c r="C121" s="844" t="s">
        <v>909</v>
      </c>
      <c r="D121" s="1277" t="s">
        <v>375</v>
      </c>
      <c r="E121" s="855" t="s">
        <v>941</v>
      </c>
      <c r="F121" s="1270"/>
      <c r="G121" s="855" t="s">
        <v>942</v>
      </c>
      <c r="H121" s="1485">
        <v>33583.089999999997</v>
      </c>
      <c r="I121" s="846" t="s">
        <v>328</v>
      </c>
      <c r="J121" s="843">
        <f t="shared" si="13"/>
        <v>33583.089999999997</v>
      </c>
      <c r="K121" s="278" t="str">
        <f t="shared" si="10"/>
        <v xml:space="preserve"> </v>
      </c>
      <c r="L121" s="278" t="str">
        <f t="shared" si="11"/>
        <v xml:space="preserve"> </v>
      </c>
      <c r="M121" s="843" t="str">
        <f t="shared" si="12"/>
        <v xml:space="preserve"> </v>
      </c>
      <c r="N121" s="843" t="str">
        <f t="shared" si="14"/>
        <v xml:space="preserve"> </v>
      </c>
    </row>
    <row r="122" spans="3:14">
      <c r="C122" s="844" t="s">
        <v>909</v>
      </c>
      <c r="D122" s="1277" t="s">
        <v>375</v>
      </c>
      <c r="E122" s="855" t="s">
        <v>943</v>
      </c>
      <c r="F122" s="1270"/>
      <c r="G122" s="855" t="s">
        <v>944</v>
      </c>
      <c r="H122" s="1485"/>
      <c r="I122" s="846" t="s">
        <v>328</v>
      </c>
      <c r="J122" s="843">
        <f t="shared" si="13"/>
        <v>0</v>
      </c>
      <c r="K122" s="278" t="str">
        <f t="shared" si="10"/>
        <v xml:space="preserve"> </v>
      </c>
      <c r="L122" s="278" t="str">
        <f t="shared" si="11"/>
        <v xml:space="preserve"> </v>
      </c>
      <c r="M122" s="843" t="str">
        <f t="shared" si="12"/>
        <v xml:space="preserve"> </v>
      </c>
      <c r="N122" s="843" t="str">
        <f t="shared" si="14"/>
        <v xml:space="preserve"> </v>
      </c>
    </row>
    <row r="123" spans="3:14">
      <c r="C123" s="844" t="s">
        <v>909</v>
      </c>
      <c r="D123" s="1277" t="s">
        <v>375</v>
      </c>
      <c r="E123" s="855" t="s">
        <v>951</v>
      </c>
      <c r="F123" s="1270"/>
      <c r="G123" s="855" t="s">
        <v>952</v>
      </c>
      <c r="H123" s="1485">
        <v>1298897.73</v>
      </c>
      <c r="I123" s="846" t="s">
        <v>337</v>
      </c>
      <c r="J123" s="843" t="str">
        <f t="shared" si="13"/>
        <v xml:space="preserve"> </v>
      </c>
      <c r="K123" s="278" t="str">
        <f t="shared" si="10"/>
        <v xml:space="preserve"> </v>
      </c>
      <c r="L123" s="278" t="str">
        <f t="shared" si="11"/>
        <v xml:space="preserve"> </v>
      </c>
      <c r="M123" s="843" t="str">
        <f t="shared" si="12"/>
        <v xml:space="preserve"> </v>
      </c>
      <c r="N123" s="843">
        <f t="shared" si="14"/>
        <v>1298897.73</v>
      </c>
    </row>
    <row r="124" spans="3:14">
      <c r="C124" s="844" t="s">
        <v>909</v>
      </c>
      <c r="D124" s="1277" t="s">
        <v>375</v>
      </c>
      <c r="E124" s="855" t="s">
        <v>955</v>
      </c>
      <c r="F124" s="1270"/>
      <c r="G124" s="855" t="s">
        <v>956</v>
      </c>
      <c r="H124" s="1485">
        <v>1619992.48</v>
      </c>
      <c r="I124" s="846" t="s">
        <v>337</v>
      </c>
      <c r="J124" s="843" t="str">
        <f t="shared" si="13"/>
        <v xml:space="preserve"> </v>
      </c>
      <c r="K124" s="278" t="str">
        <f t="shared" si="10"/>
        <v xml:space="preserve"> </v>
      </c>
      <c r="L124" s="278" t="str">
        <f t="shared" si="11"/>
        <v xml:space="preserve"> </v>
      </c>
      <c r="M124" s="843" t="str">
        <f t="shared" si="12"/>
        <v xml:space="preserve"> </v>
      </c>
      <c r="N124" s="843">
        <f t="shared" si="14"/>
        <v>1619992.48</v>
      </c>
    </row>
    <row r="125" spans="3:14">
      <c r="C125" s="844" t="s">
        <v>909</v>
      </c>
      <c r="D125" s="1277" t="s">
        <v>375</v>
      </c>
      <c r="E125" s="855" t="s">
        <v>959</v>
      </c>
      <c r="F125" s="1270"/>
      <c r="G125" s="855" t="s">
        <v>960</v>
      </c>
      <c r="H125" s="1485">
        <v>148220.19</v>
      </c>
      <c r="I125" s="846" t="s">
        <v>337</v>
      </c>
      <c r="J125" s="843" t="str">
        <f t="shared" si="13"/>
        <v xml:space="preserve"> </v>
      </c>
      <c r="K125" s="278" t="str">
        <f t="shared" si="10"/>
        <v xml:space="preserve"> </v>
      </c>
      <c r="L125" s="278" t="str">
        <f t="shared" si="11"/>
        <v xml:space="preserve"> </v>
      </c>
      <c r="M125" s="843" t="str">
        <f t="shared" si="12"/>
        <v xml:space="preserve"> </v>
      </c>
      <c r="N125" s="843">
        <f t="shared" si="14"/>
        <v>148220.19</v>
      </c>
    </row>
    <row r="126" spans="3:14">
      <c r="C126" s="844" t="s">
        <v>909</v>
      </c>
      <c r="D126" s="1277" t="s">
        <v>375</v>
      </c>
      <c r="E126" s="855" t="s">
        <v>1361</v>
      </c>
      <c r="F126" s="1270"/>
      <c r="G126" s="855" t="s">
        <v>1362</v>
      </c>
      <c r="H126" s="1485">
        <v>61108.03</v>
      </c>
      <c r="I126" s="846" t="s">
        <v>337</v>
      </c>
      <c r="J126" s="843" t="str">
        <f t="shared" si="13"/>
        <v xml:space="preserve"> </v>
      </c>
      <c r="K126" s="278" t="str">
        <f t="shared" si="10"/>
        <v xml:space="preserve"> </v>
      </c>
      <c r="L126" s="278" t="str">
        <f t="shared" si="11"/>
        <v xml:space="preserve"> </v>
      </c>
      <c r="M126" s="843" t="str">
        <f t="shared" si="12"/>
        <v xml:space="preserve"> </v>
      </c>
      <c r="N126" s="843">
        <f t="shared" si="14"/>
        <v>61108.03</v>
      </c>
    </row>
    <row r="127" spans="3:14">
      <c r="C127" s="844" t="s">
        <v>909</v>
      </c>
      <c r="D127" s="1277" t="s">
        <v>375</v>
      </c>
      <c r="E127" s="855" t="s">
        <v>963</v>
      </c>
      <c r="F127" s="1270"/>
      <c r="G127" s="855" t="s">
        <v>964</v>
      </c>
      <c r="H127" s="1485">
        <v>-716494.83</v>
      </c>
      <c r="I127" s="846" t="s">
        <v>328</v>
      </c>
      <c r="J127" s="843">
        <f t="shared" si="13"/>
        <v>-716494.83</v>
      </c>
      <c r="K127" s="278" t="str">
        <f t="shared" si="10"/>
        <v xml:space="preserve"> </v>
      </c>
      <c r="L127" s="278" t="str">
        <f t="shared" si="11"/>
        <v xml:space="preserve"> </v>
      </c>
      <c r="M127" s="843" t="str">
        <f t="shared" si="12"/>
        <v xml:space="preserve"> </v>
      </c>
      <c r="N127" s="843" t="str">
        <f t="shared" si="14"/>
        <v xml:space="preserve"> </v>
      </c>
    </row>
    <row r="128" spans="3:14">
      <c r="C128" s="844" t="s">
        <v>909</v>
      </c>
      <c r="D128" s="1277" t="s">
        <v>375</v>
      </c>
      <c r="E128" s="855" t="s">
        <v>1067</v>
      </c>
      <c r="F128" s="1270"/>
      <c r="G128" s="855" t="s">
        <v>965</v>
      </c>
      <c r="H128" s="1485">
        <v>605419.80000000005</v>
      </c>
      <c r="I128" s="846" t="s">
        <v>328</v>
      </c>
      <c r="J128" s="843">
        <f t="shared" si="13"/>
        <v>605419.80000000005</v>
      </c>
      <c r="K128" s="278" t="str">
        <f t="shared" si="10"/>
        <v xml:space="preserve"> </v>
      </c>
      <c r="L128" s="278" t="str">
        <f t="shared" si="11"/>
        <v xml:space="preserve"> </v>
      </c>
      <c r="M128" s="843" t="str">
        <f t="shared" si="12"/>
        <v xml:space="preserve"> </v>
      </c>
      <c r="N128" s="843" t="str">
        <f t="shared" si="14"/>
        <v xml:space="preserve"> </v>
      </c>
    </row>
    <row r="129" spans="3:14">
      <c r="C129" s="844" t="s">
        <v>909</v>
      </c>
      <c r="D129" s="1277" t="s">
        <v>375</v>
      </c>
      <c r="E129" s="855" t="s">
        <v>966</v>
      </c>
      <c r="F129" s="1270"/>
      <c r="G129" s="855" t="s">
        <v>967</v>
      </c>
      <c r="H129" s="1485">
        <v>-24096.03</v>
      </c>
      <c r="I129" s="846" t="s">
        <v>328</v>
      </c>
      <c r="J129" s="843">
        <f t="shared" si="13"/>
        <v>-24096.03</v>
      </c>
      <c r="K129" s="278" t="str">
        <f t="shared" si="10"/>
        <v xml:space="preserve"> </v>
      </c>
      <c r="L129" s="278" t="str">
        <f t="shared" si="11"/>
        <v xml:space="preserve"> </v>
      </c>
      <c r="M129" s="843" t="str">
        <f t="shared" si="12"/>
        <v xml:space="preserve"> </v>
      </c>
      <c r="N129" s="843" t="str">
        <f t="shared" si="14"/>
        <v xml:space="preserve"> </v>
      </c>
    </row>
    <row r="130" spans="3:14">
      <c r="C130" s="844" t="s">
        <v>909</v>
      </c>
      <c r="D130" s="1277" t="s">
        <v>375</v>
      </c>
      <c r="E130" s="855" t="s">
        <v>1279</v>
      </c>
      <c r="F130" s="1270"/>
      <c r="G130" s="855" t="s">
        <v>968</v>
      </c>
      <c r="H130" s="1485">
        <v>-123947.88</v>
      </c>
      <c r="I130" s="846" t="s">
        <v>328</v>
      </c>
      <c r="J130" s="843">
        <f t="shared" si="13"/>
        <v>-123947.88</v>
      </c>
      <c r="K130" s="278" t="str">
        <f t="shared" si="10"/>
        <v xml:space="preserve"> </v>
      </c>
      <c r="L130" s="278" t="str">
        <f t="shared" si="11"/>
        <v xml:space="preserve"> </v>
      </c>
      <c r="M130" s="843" t="str">
        <f t="shared" si="12"/>
        <v xml:space="preserve"> </v>
      </c>
      <c r="N130" s="843" t="str">
        <f t="shared" si="14"/>
        <v xml:space="preserve"> </v>
      </c>
    </row>
    <row r="131" spans="3:14">
      <c r="C131" s="844" t="s">
        <v>909</v>
      </c>
      <c r="D131" s="1277" t="s">
        <v>375</v>
      </c>
      <c r="E131" s="855" t="s">
        <v>969</v>
      </c>
      <c r="F131" s="1270"/>
      <c r="G131" s="855" t="s">
        <v>970</v>
      </c>
      <c r="H131" s="1485"/>
      <c r="I131" s="846" t="s">
        <v>328</v>
      </c>
      <c r="J131" s="843">
        <f t="shared" si="13"/>
        <v>0</v>
      </c>
      <c r="K131" s="278" t="str">
        <f t="shared" si="10"/>
        <v xml:space="preserve"> </v>
      </c>
      <c r="L131" s="278" t="str">
        <f t="shared" si="11"/>
        <v xml:space="preserve"> </v>
      </c>
      <c r="M131" s="843" t="str">
        <f t="shared" si="12"/>
        <v xml:space="preserve"> </v>
      </c>
      <c r="N131" s="843" t="str">
        <f t="shared" si="14"/>
        <v xml:space="preserve"> </v>
      </c>
    </row>
    <row r="132" spans="3:14">
      <c r="C132" s="1480" t="s">
        <v>909</v>
      </c>
      <c r="D132" s="1490" t="s">
        <v>375</v>
      </c>
      <c r="E132" s="1482" t="s">
        <v>971</v>
      </c>
      <c r="F132" s="1481"/>
      <c r="G132" s="1482" t="s">
        <v>972</v>
      </c>
      <c r="H132" s="1485"/>
      <c r="I132" s="846" t="s">
        <v>328</v>
      </c>
      <c r="J132" s="843">
        <f t="shared" si="13"/>
        <v>0</v>
      </c>
      <c r="K132" s="278" t="str">
        <f t="shared" si="10"/>
        <v xml:space="preserve"> </v>
      </c>
      <c r="L132" s="278" t="str">
        <f t="shared" si="11"/>
        <v xml:space="preserve"> </v>
      </c>
      <c r="M132" s="843" t="str">
        <f t="shared" si="12"/>
        <v xml:space="preserve"> </v>
      </c>
      <c r="N132" s="843" t="str">
        <f t="shared" si="14"/>
        <v xml:space="preserve"> </v>
      </c>
    </row>
    <row r="133" spans="3:14">
      <c r="C133" s="1480" t="s">
        <v>909</v>
      </c>
      <c r="D133" s="1490" t="s">
        <v>375</v>
      </c>
      <c r="E133" s="1482" t="s">
        <v>973</v>
      </c>
      <c r="F133" s="1481"/>
      <c r="G133" s="1482" t="s">
        <v>974</v>
      </c>
      <c r="H133" s="1485">
        <v>280439.96999999997</v>
      </c>
      <c r="I133" s="846" t="s">
        <v>184</v>
      </c>
      <c r="J133" s="843" t="str">
        <f t="shared" si="13"/>
        <v xml:space="preserve"> </v>
      </c>
      <c r="K133" s="278" t="str">
        <f t="shared" si="10"/>
        <v xml:space="preserve"> </v>
      </c>
      <c r="L133" s="278">
        <f t="shared" si="11"/>
        <v>280439.96999999997</v>
      </c>
      <c r="M133" s="843" t="str">
        <f t="shared" si="12"/>
        <v xml:space="preserve"> </v>
      </c>
      <c r="N133" s="843" t="str">
        <f t="shared" si="14"/>
        <v xml:space="preserve"> </v>
      </c>
    </row>
    <row r="134" spans="3:14">
      <c r="C134" s="844" t="s">
        <v>909</v>
      </c>
      <c r="D134" s="1277"/>
      <c r="E134" s="855" t="s">
        <v>1511</v>
      </c>
      <c r="F134" s="1270"/>
      <c r="G134" s="855" t="s">
        <v>1512</v>
      </c>
      <c r="H134" s="1485">
        <v>33344.5</v>
      </c>
      <c r="I134" s="846" t="s">
        <v>328</v>
      </c>
      <c r="J134" s="843">
        <f t="shared" si="13"/>
        <v>33344.5</v>
      </c>
      <c r="K134" s="278" t="str">
        <f t="shared" si="10"/>
        <v xml:space="preserve"> </v>
      </c>
      <c r="L134" s="278" t="str">
        <f t="shared" si="11"/>
        <v xml:space="preserve"> </v>
      </c>
      <c r="M134" s="843" t="str">
        <f t="shared" si="12"/>
        <v xml:space="preserve"> </v>
      </c>
      <c r="N134" s="843" t="str">
        <f t="shared" si="14"/>
        <v xml:space="preserve"> </v>
      </c>
    </row>
    <row r="135" spans="3:14">
      <c r="C135" s="844" t="s">
        <v>909</v>
      </c>
      <c r="D135" s="1277"/>
      <c r="E135" s="855" t="s">
        <v>1513</v>
      </c>
      <c r="F135" s="1270"/>
      <c r="G135" s="855" t="s">
        <v>1514</v>
      </c>
      <c r="H135" s="1485">
        <v>26593.02</v>
      </c>
      <c r="I135" s="846" t="s">
        <v>328</v>
      </c>
      <c r="J135" s="843">
        <f t="shared" si="13"/>
        <v>26593.02</v>
      </c>
      <c r="K135" s="278" t="str">
        <f t="shared" si="10"/>
        <v xml:space="preserve"> </v>
      </c>
      <c r="L135" s="278" t="str">
        <f t="shared" si="11"/>
        <v xml:space="preserve"> </v>
      </c>
      <c r="M135" s="843" t="str">
        <f t="shared" si="12"/>
        <v xml:space="preserve"> </v>
      </c>
      <c r="N135" s="843" t="str">
        <f t="shared" si="14"/>
        <v xml:space="preserve"> </v>
      </c>
    </row>
    <row r="136" spans="3:14">
      <c r="C136" s="844" t="s">
        <v>909</v>
      </c>
      <c r="D136" s="1277" t="s">
        <v>375</v>
      </c>
      <c r="E136" s="855" t="s">
        <v>981</v>
      </c>
      <c r="F136" s="1270"/>
      <c r="G136" s="855" t="s">
        <v>982</v>
      </c>
      <c r="H136" s="1485">
        <v>-130687.63</v>
      </c>
      <c r="I136" s="846" t="s">
        <v>328</v>
      </c>
      <c r="J136" s="843">
        <f t="shared" si="13"/>
        <v>-130687.63</v>
      </c>
      <c r="K136" s="278" t="str">
        <f t="shared" si="10"/>
        <v xml:space="preserve"> </v>
      </c>
      <c r="L136" s="278" t="str">
        <f t="shared" si="11"/>
        <v xml:space="preserve"> </v>
      </c>
      <c r="M136" s="843" t="str">
        <f t="shared" si="12"/>
        <v xml:space="preserve"> </v>
      </c>
      <c r="N136" s="843" t="str">
        <f t="shared" si="14"/>
        <v xml:space="preserve"> </v>
      </c>
    </row>
    <row r="137" spans="3:14">
      <c r="C137" s="844" t="s">
        <v>909</v>
      </c>
      <c r="D137" s="1277" t="s">
        <v>375</v>
      </c>
      <c r="E137" s="855" t="s">
        <v>1363</v>
      </c>
      <c r="F137" s="1270"/>
      <c r="G137" s="855" t="s">
        <v>1364</v>
      </c>
      <c r="H137" s="1485">
        <v>0.1</v>
      </c>
      <c r="I137" s="846" t="s">
        <v>328</v>
      </c>
      <c r="J137" s="843">
        <f t="shared" si="13"/>
        <v>0.1</v>
      </c>
      <c r="K137" s="278" t="str">
        <f t="shared" si="10"/>
        <v xml:space="preserve"> </v>
      </c>
      <c r="L137" s="278" t="str">
        <f t="shared" si="11"/>
        <v xml:space="preserve"> </v>
      </c>
      <c r="M137" s="843" t="str">
        <f t="shared" si="12"/>
        <v xml:space="preserve"> </v>
      </c>
      <c r="N137" s="843" t="str">
        <f t="shared" si="14"/>
        <v xml:space="preserve"> </v>
      </c>
    </row>
    <row r="138" spans="3:14">
      <c r="C138" s="844" t="s">
        <v>909</v>
      </c>
      <c r="D138" s="1277" t="s">
        <v>375</v>
      </c>
      <c r="E138" s="855" t="s">
        <v>1365</v>
      </c>
      <c r="F138" s="1270"/>
      <c r="G138" s="855" t="s">
        <v>1366</v>
      </c>
      <c r="H138" s="1485">
        <v>1008.6</v>
      </c>
      <c r="I138" s="846" t="s">
        <v>184</v>
      </c>
      <c r="J138" s="843" t="str">
        <f t="shared" si="13"/>
        <v xml:space="preserve"> </v>
      </c>
      <c r="K138" s="278" t="str">
        <f t="shared" si="10"/>
        <v xml:space="preserve"> </v>
      </c>
      <c r="L138" s="278">
        <f t="shared" si="11"/>
        <v>1008.6</v>
      </c>
      <c r="M138" s="843" t="str">
        <f t="shared" si="12"/>
        <v xml:space="preserve"> </v>
      </c>
      <c r="N138" s="843" t="str">
        <f t="shared" si="14"/>
        <v xml:space="preserve"> </v>
      </c>
    </row>
    <row r="139" spans="3:14">
      <c r="C139" s="844" t="s">
        <v>909</v>
      </c>
      <c r="D139" s="1277" t="s">
        <v>375</v>
      </c>
      <c r="E139" s="855" t="s">
        <v>989</v>
      </c>
      <c r="F139" s="1270"/>
      <c r="G139" s="855" t="s">
        <v>990</v>
      </c>
      <c r="H139" s="1485">
        <v>-692450.71</v>
      </c>
      <c r="I139" s="846" t="s">
        <v>328</v>
      </c>
      <c r="J139" s="843">
        <f t="shared" si="13"/>
        <v>-692450.71</v>
      </c>
      <c r="K139" s="278" t="str">
        <f t="shared" si="10"/>
        <v xml:space="preserve"> </v>
      </c>
      <c r="L139" s="278" t="str">
        <f t="shared" si="11"/>
        <v xml:space="preserve"> </v>
      </c>
      <c r="M139" s="843" t="str">
        <f t="shared" si="12"/>
        <v xml:space="preserve"> </v>
      </c>
      <c r="N139" s="843" t="str">
        <f t="shared" si="14"/>
        <v xml:space="preserve"> </v>
      </c>
    </row>
    <row r="140" spans="3:14">
      <c r="C140" s="844" t="s">
        <v>909</v>
      </c>
      <c r="D140" s="1277" t="s">
        <v>375</v>
      </c>
      <c r="E140" s="855" t="s">
        <v>1068</v>
      </c>
      <c r="F140" s="1270"/>
      <c r="G140" s="855" t="s">
        <v>903</v>
      </c>
      <c r="H140" s="1485">
        <v>672069.15</v>
      </c>
      <c r="I140" s="846" t="s">
        <v>337</v>
      </c>
      <c r="J140" s="843" t="str">
        <f t="shared" si="13"/>
        <v xml:space="preserve"> </v>
      </c>
      <c r="K140" s="278" t="str">
        <f t="shared" si="10"/>
        <v xml:space="preserve"> </v>
      </c>
      <c r="L140" s="278" t="str">
        <f t="shared" si="11"/>
        <v xml:space="preserve"> </v>
      </c>
      <c r="M140" s="843" t="str">
        <f t="shared" si="12"/>
        <v xml:space="preserve"> </v>
      </c>
      <c r="N140" s="843">
        <f t="shared" si="14"/>
        <v>672069.15</v>
      </c>
    </row>
    <row r="141" spans="3:14">
      <c r="C141" s="844" t="s">
        <v>909</v>
      </c>
      <c r="D141" s="1277" t="s">
        <v>375</v>
      </c>
      <c r="E141" s="855" t="s">
        <v>991</v>
      </c>
      <c r="F141" s="1270"/>
      <c r="G141" s="855" t="s">
        <v>992</v>
      </c>
      <c r="H141" s="1485">
        <v>11800149.02</v>
      </c>
      <c r="I141" s="846" t="s">
        <v>328</v>
      </c>
      <c r="J141" s="843">
        <f t="shared" si="13"/>
        <v>11800149.02</v>
      </c>
      <c r="K141" s="278" t="str">
        <f t="shared" si="10"/>
        <v xml:space="preserve"> </v>
      </c>
      <c r="L141" s="278" t="str">
        <f t="shared" si="11"/>
        <v xml:space="preserve"> </v>
      </c>
      <c r="M141" s="843" t="str">
        <f t="shared" si="12"/>
        <v xml:space="preserve"> </v>
      </c>
      <c r="N141" s="843" t="str">
        <f t="shared" si="14"/>
        <v xml:space="preserve"> </v>
      </c>
    </row>
    <row r="142" spans="3:14">
      <c r="C142" s="844" t="s">
        <v>909</v>
      </c>
      <c r="D142" s="1277" t="s">
        <v>375</v>
      </c>
      <c r="E142" s="855" t="s">
        <v>993</v>
      </c>
      <c r="F142" s="1270"/>
      <c r="G142" s="855" t="s">
        <v>994</v>
      </c>
      <c r="H142" s="1485">
        <v>162823.92000000001</v>
      </c>
      <c r="I142" s="846" t="s">
        <v>328</v>
      </c>
      <c r="J142" s="843">
        <f t="shared" si="13"/>
        <v>162823.92000000001</v>
      </c>
      <c r="K142" s="278" t="str">
        <f t="shared" si="10"/>
        <v xml:space="preserve"> </v>
      </c>
      <c r="L142" s="278" t="str">
        <f t="shared" si="11"/>
        <v xml:space="preserve"> </v>
      </c>
      <c r="M142" s="843" t="str">
        <f t="shared" si="12"/>
        <v xml:space="preserve"> </v>
      </c>
      <c r="N142" s="843" t="str">
        <f t="shared" si="14"/>
        <v xml:space="preserve"> </v>
      </c>
    </row>
    <row r="143" spans="3:14">
      <c r="C143" s="844" t="s">
        <v>909</v>
      </c>
      <c r="D143" s="1277" t="s">
        <v>375</v>
      </c>
      <c r="E143" s="855" t="s">
        <v>1280</v>
      </c>
      <c r="F143" s="1270"/>
      <c r="G143" s="855" t="s">
        <v>995</v>
      </c>
      <c r="H143" s="1485">
        <v>35913727.740000002</v>
      </c>
      <c r="I143" s="846" t="s">
        <v>184</v>
      </c>
      <c r="J143" s="843" t="str">
        <f t="shared" si="13"/>
        <v xml:space="preserve"> </v>
      </c>
      <c r="K143" s="278" t="str">
        <f t="shared" si="10"/>
        <v xml:space="preserve"> </v>
      </c>
      <c r="L143" s="278">
        <f t="shared" si="11"/>
        <v>35913727.740000002</v>
      </c>
      <c r="M143" s="843" t="str">
        <f t="shared" si="12"/>
        <v xml:space="preserve"> </v>
      </c>
      <c r="N143" s="843" t="str">
        <f t="shared" si="14"/>
        <v xml:space="preserve"> </v>
      </c>
    </row>
    <row r="144" spans="3:14">
      <c r="C144" s="844" t="s">
        <v>909</v>
      </c>
      <c r="D144" s="1277" t="s">
        <v>375</v>
      </c>
      <c r="E144" s="855" t="s">
        <v>998</v>
      </c>
      <c r="F144" s="1270"/>
      <c r="G144" s="855" t="s">
        <v>999</v>
      </c>
      <c r="H144" s="1485">
        <v>-558768</v>
      </c>
      <c r="I144" s="846" t="s">
        <v>328</v>
      </c>
      <c r="J144" s="843">
        <f t="shared" si="13"/>
        <v>-558768</v>
      </c>
      <c r="K144" s="278" t="str">
        <f t="shared" si="10"/>
        <v xml:space="preserve"> </v>
      </c>
      <c r="L144" s="278" t="str">
        <f t="shared" si="11"/>
        <v xml:space="preserve"> </v>
      </c>
      <c r="M144" s="843" t="str">
        <f t="shared" si="12"/>
        <v xml:space="preserve"> </v>
      </c>
      <c r="N144" s="843" t="str">
        <f t="shared" si="14"/>
        <v xml:space="preserve"> </v>
      </c>
    </row>
    <row r="145" spans="3:14">
      <c r="C145" s="844" t="s">
        <v>909</v>
      </c>
      <c r="D145" s="1277" t="s">
        <v>375</v>
      </c>
      <c r="E145" s="855" t="s">
        <v>1069</v>
      </c>
      <c r="F145" s="1270"/>
      <c r="G145" s="855" t="s">
        <v>1000</v>
      </c>
      <c r="H145" s="1485">
        <v>416398.8</v>
      </c>
      <c r="I145" s="846" t="s">
        <v>328</v>
      </c>
      <c r="J145" s="843">
        <f t="shared" si="13"/>
        <v>416398.8</v>
      </c>
      <c r="K145" s="278" t="str">
        <f t="shared" si="10"/>
        <v xml:space="preserve"> </v>
      </c>
      <c r="L145" s="278" t="str">
        <f t="shared" si="11"/>
        <v xml:space="preserve"> </v>
      </c>
      <c r="M145" s="843" t="str">
        <f t="shared" si="12"/>
        <v xml:space="preserve"> </v>
      </c>
      <c r="N145" s="843" t="str">
        <f t="shared" si="14"/>
        <v xml:space="preserve"> </v>
      </c>
    </row>
    <row r="146" spans="3:14">
      <c r="C146" s="844" t="s">
        <v>909</v>
      </c>
      <c r="D146" s="1277" t="s">
        <v>375</v>
      </c>
      <c r="E146" s="855" t="s">
        <v>1001</v>
      </c>
      <c r="F146" s="1270"/>
      <c r="G146" s="855" t="s">
        <v>1002</v>
      </c>
      <c r="H146" s="1485">
        <v>-20514.689999999999</v>
      </c>
      <c r="I146" s="846" t="s">
        <v>328</v>
      </c>
      <c r="J146" s="843">
        <f t="shared" si="13"/>
        <v>-20514.689999999999</v>
      </c>
      <c r="K146" s="278" t="str">
        <f t="shared" si="10"/>
        <v xml:space="preserve"> </v>
      </c>
      <c r="L146" s="278" t="str">
        <f t="shared" si="11"/>
        <v xml:space="preserve"> </v>
      </c>
      <c r="M146" s="843" t="str">
        <f t="shared" si="12"/>
        <v xml:space="preserve"> </v>
      </c>
      <c r="N146" s="843" t="str">
        <f t="shared" si="14"/>
        <v xml:space="preserve"> </v>
      </c>
    </row>
    <row r="147" spans="3:14">
      <c r="C147" s="844" t="s">
        <v>909</v>
      </c>
      <c r="D147" s="1277"/>
      <c r="E147" s="855" t="s">
        <v>1544</v>
      </c>
      <c r="F147" s="1270"/>
      <c r="G147" s="855" t="s">
        <v>1545</v>
      </c>
      <c r="H147" s="1485">
        <v>-301784.90999999997</v>
      </c>
      <c r="I147" s="846" t="s">
        <v>328</v>
      </c>
      <c r="J147" s="843">
        <f t="shared" si="13"/>
        <v>-301784.90999999997</v>
      </c>
      <c r="K147" s="278" t="str">
        <f t="shared" si="10"/>
        <v xml:space="preserve"> </v>
      </c>
      <c r="L147" s="278" t="str">
        <f t="shared" si="11"/>
        <v xml:space="preserve"> </v>
      </c>
      <c r="M147" s="843" t="str">
        <f t="shared" si="12"/>
        <v xml:space="preserve"> </v>
      </c>
      <c r="N147" s="843" t="str">
        <f t="shared" si="14"/>
        <v xml:space="preserve"> </v>
      </c>
    </row>
    <row r="148" spans="3:14">
      <c r="C148" s="844" t="s">
        <v>909</v>
      </c>
      <c r="D148" s="1277" t="s">
        <v>375</v>
      </c>
      <c r="E148" s="855" t="s">
        <v>1003</v>
      </c>
      <c r="F148" s="1270"/>
      <c r="G148" s="855" t="s">
        <v>1004</v>
      </c>
      <c r="H148" s="1485">
        <v>288501.01</v>
      </c>
      <c r="I148" s="846" t="s">
        <v>184</v>
      </c>
      <c r="J148" s="843" t="str">
        <f t="shared" si="13"/>
        <v xml:space="preserve"> </v>
      </c>
      <c r="K148" s="278" t="str">
        <f t="shared" si="10"/>
        <v xml:space="preserve"> </v>
      </c>
      <c r="L148" s="278">
        <f t="shared" si="11"/>
        <v>288501.01</v>
      </c>
      <c r="M148" s="843" t="str">
        <f t="shared" si="12"/>
        <v xml:space="preserve"> </v>
      </c>
      <c r="N148" s="843" t="str">
        <f t="shared" si="14"/>
        <v xml:space="preserve"> </v>
      </c>
    </row>
    <row r="149" spans="3:14">
      <c r="C149" s="844" t="s">
        <v>909</v>
      </c>
      <c r="D149" s="1277" t="s">
        <v>375</v>
      </c>
      <c r="E149" s="855" t="s">
        <v>1005</v>
      </c>
      <c r="F149" s="1270"/>
      <c r="G149" s="855" t="s">
        <v>1006</v>
      </c>
      <c r="H149" s="1485">
        <v>0.09</v>
      </c>
      <c r="I149" s="846" t="s">
        <v>328</v>
      </c>
      <c r="J149" s="843">
        <f t="shared" si="13"/>
        <v>0.09</v>
      </c>
      <c r="K149" s="278" t="str">
        <f t="shared" si="10"/>
        <v xml:space="preserve"> </v>
      </c>
      <c r="L149" s="278" t="str">
        <f t="shared" si="11"/>
        <v xml:space="preserve"> </v>
      </c>
      <c r="M149" s="843" t="str">
        <f t="shared" si="12"/>
        <v xml:space="preserve"> </v>
      </c>
      <c r="N149" s="843" t="str">
        <f t="shared" si="14"/>
        <v xml:space="preserve"> </v>
      </c>
    </row>
    <row r="150" spans="3:14">
      <c r="C150" s="844" t="s">
        <v>909</v>
      </c>
      <c r="D150" s="1277" t="s">
        <v>375</v>
      </c>
      <c r="E150" s="855" t="s">
        <v>1007</v>
      </c>
      <c r="F150" s="1270"/>
      <c r="G150" s="855" t="s">
        <v>1008</v>
      </c>
      <c r="H150" s="1485">
        <v>0</v>
      </c>
      <c r="I150" s="846" t="s">
        <v>328</v>
      </c>
      <c r="J150" s="843">
        <f t="shared" si="13"/>
        <v>0</v>
      </c>
      <c r="K150" s="278" t="str">
        <f t="shared" si="10"/>
        <v xml:space="preserve"> </v>
      </c>
      <c r="L150" s="278" t="str">
        <f t="shared" si="11"/>
        <v xml:space="preserve"> </v>
      </c>
      <c r="M150" s="843" t="str">
        <f t="shared" si="12"/>
        <v xml:space="preserve"> </v>
      </c>
      <c r="N150" s="843" t="str">
        <f t="shared" si="14"/>
        <v xml:space="preserve"> </v>
      </c>
    </row>
    <row r="151" spans="3:14">
      <c r="C151" s="844" t="s">
        <v>909</v>
      </c>
      <c r="D151" s="1277"/>
      <c r="E151" s="855" t="s">
        <v>1507</v>
      </c>
      <c r="F151" s="1270"/>
      <c r="G151" s="855" t="s">
        <v>1508</v>
      </c>
      <c r="H151" s="1485">
        <v>27831.1</v>
      </c>
      <c r="I151" s="846" t="s">
        <v>328</v>
      </c>
      <c r="J151" s="843">
        <f t="shared" si="13"/>
        <v>27831.1</v>
      </c>
      <c r="K151" s="278" t="str">
        <f t="shared" si="10"/>
        <v xml:space="preserve"> </v>
      </c>
      <c r="L151" s="278" t="str">
        <f t="shared" si="11"/>
        <v xml:space="preserve"> </v>
      </c>
      <c r="M151" s="843" t="str">
        <f t="shared" si="12"/>
        <v xml:space="preserve"> </v>
      </c>
      <c r="N151" s="843" t="str">
        <f t="shared" si="14"/>
        <v xml:space="preserve"> </v>
      </c>
    </row>
    <row r="152" spans="3:14">
      <c r="C152" s="844" t="s">
        <v>909</v>
      </c>
      <c r="D152" s="1277" t="s">
        <v>375</v>
      </c>
      <c r="E152" s="855" t="s">
        <v>1509</v>
      </c>
      <c r="F152" s="1270"/>
      <c r="G152" s="855" t="s">
        <v>1510</v>
      </c>
      <c r="H152" s="1485">
        <v>103896.67</v>
      </c>
      <c r="I152" s="846" t="s">
        <v>328</v>
      </c>
      <c r="J152" s="843">
        <f t="shared" si="13"/>
        <v>103896.67</v>
      </c>
      <c r="K152" s="278" t="str">
        <f t="shared" si="10"/>
        <v xml:space="preserve"> </v>
      </c>
      <c r="L152" s="278" t="str">
        <f t="shared" si="11"/>
        <v xml:space="preserve"> </v>
      </c>
      <c r="M152" s="843" t="str">
        <f t="shared" si="12"/>
        <v xml:space="preserve"> </v>
      </c>
      <c r="N152" s="843" t="str">
        <f t="shared" si="14"/>
        <v xml:space="preserve"> </v>
      </c>
    </row>
    <row r="153" spans="3:14">
      <c r="C153" s="844"/>
      <c r="D153" s="1277"/>
      <c r="E153" s="855"/>
      <c r="F153" s="1270"/>
      <c r="G153" s="855"/>
      <c r="H153" s="1485"/>
      <c r="I153" s="846"/>
      <c r="J153" s="843" t="str">
        <f t="shared" si="13"/>
        <v xml:space="preserve"> </v>
      </c>
      <c r="K153" s="278" t="str">
        <f t="shared" si="10"/>
        <v xml:space="preserve"> </v>
      </c>
      <c r="L153" s="278" t="str">
        <f t="shared" si="11"/>
        <v xml:space="preserve"> </v>
      </c>
      <c r="M153" s="843" t="str">
        <f t="shared" si="12"/>
        <v xml:space="preserve"> </v>
      </c>
      <c r="N153" s="843" t="str">
        <f t="shared" si="14"/>
        <v xml:space="preserve"> </v>
      </c>
    </row>
    <row r="154" spans="3:14">
      <c r="C154" s="844">
        <v>1901002</v>
      </c>
      <c r="D154" s="1277"/>
      <c r="E154" s="855" t="s">
        <v>1367</v>
      </c>
      <c r="F154" s="1270"/>
      <c r="G154" s="855" t="s">
        <v>1368</v>
      </c>
      <c r="H154" s="1485">
        <v>16194103</v>
      </c>
      <c r="I154" s="846" t="s">
        <v>328</v>
      </c>
      <c r="J154" s="843">
        <f t="shared" si="13"/>
        <v>16194103</v>
      </c>
      <c r="K154" s="278" t="str">
        <f t="shared" si="10"/>
        <v xml:space="preserve"> </v>
      </c>
      <c r="L154" s="278" t="str">
        <f t="shared" si="11"/>
        <v xml:space="preserve"> </v>
      </c>
      <c r="M154" s="843" t="str">
        <f t="shared" si="12"/>
        <v xml:space="preserve"> </v>
      </c>
      <c r="N154" s="843" t="str">
        <f t="shared" si="14"/>
        <v xml:space="preserve"> </v>
      </c>
    </row>
    <row r="155" spans="3:14">
      <c r="C155" s="1480">
        <v>1901002</v>
      </c>
      <c r="D155" s="1489"/>
      <c r="E155" s="1482" t="s">
        <v>1328</v>
      </c>
      <c r="F155" s="1481"/>
      <c r="G155" s="1482" t="s">
        <v>1329</v>
      </c>
      <c r="H155" s="1485">
        <v>17006003.73</v>
      </c>
      <c r="I155" s="846" t="s">
        <v>328</v>
      </c>
      <c r="J155" s="843">
        <f t="shared" si="13"/>
        <v>17006003.73</v>
      </c>
      <c r="K155" s="278" t="str">
        <f t="shared" si="10"/>
        <v xml:space="preserve"> </v>
      </c>
      <c r="L155" s="278" t="str">
        <f t="shared" si="11"/>
        <v xml:space="preserve"> </v>
      </c>
      <c r="M155" s="843" t="str">
        <f t="shared" si="12"/>
        <v xml:space="preserve"> </v>
      </c>
      <c r="N155" s="843" t="str">
        <f t="shared" si="14"/>
        <v xml:space="preserve"> </v>
      </c>
    </row>
    <row r="156" spans="3:14">
      <c r="C156" s="1480">
        <v>1901002</v>
      </c>
      <c r="D156" s="1489"/>
      <c r="E156" s="1482" t="s">
        <v>1048</v>
      </c>
      <c r="F156" s="1481"/>
      <c r="G156" s="1482" t="s">
        <v>871</v>
      </c>
      <c r="H156" s="1485">
        <v>20934918.710000001</v>
      </c>
      <c r="I156" s="846" t="s">
        <v>328</v>
      </c>
      <c r="J156" s="843">
        <f t="shared" si="13"/>
        <v>20934918.710000001</v>
      </c>
      <c r="K156" s="278" t="str">
        <f t="shared" si="10"/>
        <v xml:space="preserve"> </v>
      </c>
      <c r="L156" s="278" t="str">
        <f t="shared" si="11"/>
        <v xml:space="preserve"> </v>
      </c>
      <c r="M156" s="843" t="str">
        <f t="shared" si="12"/>
        <v xml:space="preserve"> </v>
      </c>
      <c r="N156" s="843" t="str">
        <f t="shared" si="14"/>
        <v xml:space="preserve"> </v>
      </c>
    </row>
    <row r="157" spans="3:14">
      <c r="C157" s="1480">
        <v>1901002</v>
      </c>
      <c r="D157" s="1489"/>
      <c r="E157" s="1482" t="s">
        <v>1497</v>
      </c>
      <c r="F157" s="1481"/>
      <c r="G157" s="1482" t="s">
        <v>1498</v>
      </c>
      <c r="H157" s="1485">
        <v>0</v>
      </c>
      <c r="I157" s="846" t="s">
        <v>328</v>
      </c>
      <c r="J157" s="843">
        <f t="shared" si="13"/>
        <v>0</v>
      </c>
      <c r="K157" s="278" t="str">
        <f t="shared" si="10"/>
        <v xml:space="preserve"> </v>
      </c>
      <c r="L157" s="278" t="str">
        <f t="shared" si="11"/>
        <v xml:space="preserve"> </v>
      </c>
      <c r="M157" s="843" t="str">
        <f t="shared" si="12"/>
        <v xml:space="preserve"> </v>
      </c>
      <c r="N157" s="843" t="str">
        <f t="shared" si="14"/>
        <v xml:space="preserve"> </v>
      </c>
    </row>
    <row r="158" spans="3:14">
      <c r="C158" s="1278"/>
      <c r="D158"/>
      <c r="E158" s="855"/>
      <c r="F158" s="1270"/>
      <c r="G158" s="855"/>
      <c r="H158" s="1485"/>
      <c r="I158" s="846"/>
      <c r="J158" s="843" t="str">
        <f t="shared" si="13"/>
        <v xml:space="preserve"> </v>
      </c>
      <c r="K158" s="278" t="str">
        <f t="shared" si="10"/>
        <v xml:space="preserve"> </v>
      </c>
      <c r="L158" s="278" t="str">
        <f t="shared" si="11"/>
        <v xml:space="preserve"> </v>
      </c>
      <c r="M158" s="843" t="str">
        <f t="shared" si="12"/>
        <v xml:space="preserve"> </v>
      </c>
      <c r="N158" s="843" t="str">
        <f t="shared" si="14"/>
        <v xml:space="preserve"> </v>
      </c>
    </row>
    <row r="159" spans="3:14">
      <c r="C159" s="1278"/>
      <c r="D159" s="1277"/>
      <c r="E159" s="855"/>
      <c r="F159" s="1270"/>
      <c r="G159" s="855" t="s">
        <v>1467</v>
      </c>
      <c r="H159" s="1485">
        <v>4841089.5999999996</v>
      </c>
      <c r="I159" s="846"/>
      <c r="J159" s="846">
        <v>2536880.6</v>
      </c>
      <c r="K159" s="846" t="str">
        <f t="shared" si="10"/>
        <v xml:space="preserve"> </v>
      </c>
      <c r="L159" s="846">
        <v>2012685</v>
      </c>
      <c r="M159" s="846" t="str">
        <f t="shared" si="12"/>
        <v xml:space="preserve"> </v>
      </c>
      <c r="N159" s="846">
        <v>291524</v>
      </c>
    </row>
    <row r="160" spans="3:14">
      <c r="C160" s="1278"/>
      <c r="D160" s="1277"/>
      <c r="E160" s="855"/>
      <c r="F160" s="1270"/>
      <c r="G160" s="855"/>
      <c r="H160" s="1485"/>
      <c r="I160" s="846"/>
      <c r="J160" s="843" t="str">
        <f t="shared" si="13"/>
        <v xml:space="preserve"> </v>
      </c>
      <c r="K160" s="278" t="str">
        <f t="shared" si="10"/>
        <v xml:space="preserve"> </v>
      </c>
      <c r="L160" s="278" t="str">
        <f t="shared" si="11"/>
        <v xml:space="preserve"> </v>
      </c>
      <c r="M160" s="843" t="str">
        <f t="shared" si="12"/>
        <v xml:space="preserve"> </v>
      </c>
      <c r="N160" s="843" t="str">
        <f t="shared" si="14"/>
        <v xml:space="preserve"> </v>
      </c>
    </row>
    <row r="161" spans="3:16">
      <c r="C161" s="704"/>
      <c r="J161" s="268"/>
    </row>
    <row r="162" spans="3:16">
      <c r="C162" s="706">
        <v>190.1</v>
      </c>
      <c r="D162" s="38"/>
      <c r="G162" s="194" t="s">
        <v>185</v>
      </c>
      <c r="H162" s="677">
        <f>SUM(H105:H161)</f>
        <v>123669008.46000001</v>
      </c>
      <c r="I162" s="278"/>
      <c r="J162" s="677">
        <f>SUM(J105:J161)</f>
        <v>78212488.729999989</v>
      </c>
      <c r="K162" s="677">
        <f>SUM(K105:K161)</f>
        <v>0</v>
      </c>
      <c r="L162" s="677">
        <f>SUM(L105:L161)</f>
        <v>40560757.090000004</v>
      </c>
      <c r="M162" s="677">
        <f>SUM(M105:M161)</f>
        <v>0</v>
      </c>
      <c r="N162" s="677">
        <f>SUM(N105:N161)</f>
        <v>4895762.6399999997</v>
      </c>
      <c r="O162" s="674"/>
      <c r="P162" s="278"/>
    </row>
    <row r="163" spans="3:16">
      <c r="G163" s="1271" t="s">
        <v>151</v>
      </c>
      <c r="H163" s="841"/>
      <c r="J163" s="675"/>
      <c r="P163" s="278"/>
    </row>
    <row r="164" spans="3:16">
      <c r="G164" s="1271"/>
      <c r="H164" s="1266"/>
    </row>
    <row r="165" spans="3:16" ht="33" customHeight="1">
      <c r="C165" s="1565"/>
      <c r="D165" s="1565"/>
      <c r="E165" s="1565"/>
      <c r="F165" s="1565"/>
      <c r="G165" s="1565"/>
      <c r="H165" s="1565"/>
      <c r="I165" s="1565"/>
      <c r="J165" s="1565"/>
      <c r="K165" s="1565"/>
      <c r="L165" s="1565"/>
      <c r="M165" s="1565"/>
      <c r="N165" s="1565"/>
    </row>
    <row r="178" spans="3:8">
      <c r="C178" s="40"/>
      <c r="D178" s="670"/>
      <c r="E178" s="40"/>
      <c r="G178" s="40"/>
      <c r="H178" s="162"/>
    </row>
    <row r="214" spans="3:6">
      <c r="C214" s="40"/>
      <c r="D214" s="40"/>
      <c r="E214" s="40"/>
      <c r="F214" s="444"/>
    </row>
    <row r="215" spans="3:6">
      <c r="C215" s="40"/>
      <c r="D215" s="40"/>
      <c r="E215" s="40"/>
    </row>
    <row r="216" spans="3:6">
      <c r="C216" s="40"/>
      <c r="D216" s="40"/>
      <c r="E216" s="40"/>
    </row>
    <row r="217" spans="3:6">
      <c r="C217" s="40"/>
      <c r="D217" s="40"/>
      <c r="E217" s="40"/>
    </row>
    <row r="218" spans="3:6">
      <c r="C218" s="40"/>
      <c r="D218" s="40"/>
      <c r="E218" s="40"/>
    </row>
    <row r="219" spans="3:6">
      <c r="C219" s="40"/>
      <c r="D219" s="40"/>
      <c r="E219" s="40"/>
    </row>
    <row r="220" spans="3:6">
      <c r="C220" s="40"/>
      <c r="D220" s="40"/>
      <c r="E220" s="40"/>
    </row>
    <row r="221" spans="3:6">
      <c r="C221" s="40"/>
      <c r="D221" s="40"/>
      <c r="E221" s="40"/>
    </row>
    <row r="222" spans="3:6">
      <c r="C222" s="40"/>
      <c r="D222" s="40"/>
      <c r="E222" s="40"/>
    </row>
    <row r="223" spans="3:6">
      <c r="C223" s="40"/>
      <c r="D223" s="40"/>
      <c r="E223" s="40"/>
    </row>
    <row r="224" spans="3:6">
      <c r="C224" s="40"/>
      <c r="D224" s="40"/>
      <c r="E224" s="40"/>
    </row>
    <row r="225" spans="3:5">
      <c r="C225" s="40"/>
      <c r="D225" s="40"/>
      <c r="E225" s="40"/>
    </row>
    <row r="226" spans="3:5">
      <c r="C226" s="40"/>
      <c r="D226" s="40"/>
      <c r="E226" s="40"/>
    </row>
    <row r="227" spans="3:5">
      <c r="C227" s="40"/>
      <c r="D227" s="40"/>
      <c r="E227" s="40"/>
    </row>
    <row r="228" spans="3:5">
      <c r="C228" s="40"/>
      <c r="D228" s="40"/>
      <c r="E228" s="40"/>
    </row>
    <row r="229" spans="3:5">
      <c r="C229" s="40"/>
      <c r="D229" s="40"/>
      <c r="E229" s="40"/>
    </row>
    <row r="230" spans="3:5">
      <c r="C230" s="40"/>
      <c r="D230" s="40"/>
      <c r="E230" s="40"/>
    </row>
    <row r="231" spans="3:5">
      <c r="C231" s="40"/>
      <c r="D231" s="40"/>
      <c r="E231" s="40"/>
    </row>
    <row r="232" spans="3:5">
      <c r="C232" s="40"/>
      <c r="D232" s="40"/>
      <c r="E232" s="40"/>
    </row>
    <row r="233" spans="3:5">
      <c r="D233" s="38"/>
    </row>
    <row r="234" spans="3:5">
      <c r="D234" s="38"/>
    </row>
    <row r="235" spans="3:5">
      <c r="D235" s="38"/>
    </row>
    <row r="236" spans="3:5">
      <c r="D236" s="38"/>
    </row>
    <row r="237" spans="3:5">
      <c r="D237" s="38"/>
    </row>
    <row r="238" spans="3:5">
      <c r="D238" s="38"/>
    </row>
    <row r="239" spans="3:5">
      <c r="D239" s="38"/>
    </row>
    <row r="240" spans="3:5">
      <c r="D240" s="38"/>
    </row>
    <row r="241" spans="3:7">
      <c r="D241" s="38"/>
    </row>
    <row r="242" spans="3:7">
      <c r="D242" s="38"/>
    </row>
    <row r="243" spans="3:7">
      <c r="D243" s="38"/>
    </row>
    <row r="244" spans="3:7">
      <c r="D244" s="38"/>
    </row>
    <row r="245" spans="3:7">
      <c r="D245" s="38"/>
    </row>
    <row r="246" spans="3:7">
      <c r="D246" s="38"/>
    </row>
    <row r="247" spans="3:7">
      <c r="D247" s="38"/>
    </row>
    <row r="248" spans="3:7">
      <c r="D248" s="38"/>
    </row>
    <row r="249" spans="3:7">
      <c r="D249" s="38"/>
    </row>
    <row r="250" spans="3:7">
      <c r="C250" s="40"/>
      <c r="D250" s="670"/>
      <c r="E250" s="40"/>
      <c r="F250" s="40"/>
      <c r="G250" s="40"/>
    </row>
    <row r="251" spans="3:7">
      <c r="C251" s="40"/>
      <c r="D251" s="670"/>
      <c r="E251" s="40"/>
      <c r="F251" s="40"/>
      <c r="G251" s="40"/>
    </row>
    <row r="252" spans="3:7">
      <c r="C252" s="40"/>
      <c r="D252" s="670"/>
      <c r="E252" s="40"/>
      <c r="F252" s="40"/>
      <c r="G252" s="40"/>
    </row>
    <row r="253" spans="3:7">
      <c r="C253" s="40"/>
      <c r="D253" s="670"/>
      <c r="E253" s="40"/>
      <c r="F253" s="40"/>
      <c r="G253" s="40"/>
    </row>
    <row r="254" spans="3:7">
      <c r="C254" s="40"/>
      <c r="D254" s="670"/>
      <c r="E254" s="40"/>
      <c r="F254" s="40"/>
      <c r="G254" s="40"/>
    </row>
    <row r="255" spans="3:7">
      <c r="C255" s="40"/>
      <c r="D255" s="670"/>
      <c r="E255" s="40"/>
      <c r="F255" s="40"/>
      <c r="G255" s="40"/>
    </row>
  </sheetData>
  <mergeCells count="6">
    <mergeCell ref="C2:N2"/>
    <mergeCell ref="C165:N165"/>
    <mergeCell ref="J7:N7"/>
    <mergeCell ref="C3:N3"/>
    <mergeCell ref="C4:N4"/>
    <mergeCell ref="C5:N5"/>
  </mergeCells>
  <phoneticPr fontId="74" type="noConversion"/>
  <conditionalFormatting sqref="O162 O101 O44:O47 O49">
    <cfRule type="cellIs" dxfId="10" priority="3" stopIfTrue="1" operator="equal">
      <formula>FALSE</formula>
    </cfRule>
  </conditionalFormatting>
  <conditionalFormatting sqref="O50">
    <cfRule type="cellIs" dxfId="9" priority="2" stopIfTrue="1" operator="equal">
      <formula>FALSE</formula>
    </cfRule>
  </conditionalFormatting>
  <conditionalFormatting sqref="O48">
    <cfRule type="cellIs" dxfId="8" priority="1" stopIfTrue="1" operator="equal">
      <formula>FALSE</formula>
    </cfRule>
  </conditionalFormatting>
  <pageMargins left="0.5" right="0.5" top="1" bottom="0.5" header="0.5" footer="0.5"/>
  <pageSetup scale="50" fitToHeight="0" orientation="portrait" r:id="rId1"/>
  <headerFooter alignWithMargins="0">
    <oddHeader>&amp;R&amp;18AEP - SPP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259"/>
  <sheetViews>
    <sheetView topLeftCell="F1" zoomScale="90" zoomScaleNormal="90" zoomScaleSheetLayoutView="75" zoomScalePageLayoutView="75" workbookViewId="0">
      <selection activeCell="O34" sqref="O34"/>
    </sheetView>
  </sheetViews>
  <sheetFormatPr defaultColWidth="8.85546875" defaultRowHeight="12.75"/>
  <cols>
    <col min="1" max="2" width="1.7109375" style="38" customWidth="1"/>
    <col min="3" max="3" width="10.7109375" style="38" customWidth="1"/>
    <col min="4" max="4" width="1.7109375" style="444" customWidth="1"/>
    <col min="5" max="5" width="11.140625" style="38" customWidth="1"/>
    <col min="6" max="6" width="1.7109375" style="38" customWidth="1"/>
    <col min="7" max="7" width="53.28515625" style="38" customWidth="1"/>
    <col min="8" max="8" width="18.7109375" style="171" customWidth="1"/>
    <col min="9" max="9" width="11.7109375" style="38" customWidth="1"/>
    <col min="10" max="10" width="15.28515625" style="38" customWidth="1"/>
    <col min="11" max="11" width="13.28515625" style="38" customWidth="1"/>
    <col min="12" max="12" width="18.85546875" style="38" customWidth="1"/>
    <col min="13" max="14" width="13.28515625" style="38" customWidth="1"/>
    <col min="15" max="16384" width="8.85546875" style="38"/>
  </cols>
  <sheetData>
    <row r="1" spans="1:15" ht="20.25">
      <c r="A1" s="709"/>
      <c r="B1" s="710"/>
      <c r="D1" s="38"/>
      <c r="I1" s="55"/>
      <c r="J1" s="55"/>
      <c r="K1" s="55"/>
      <c r="L1" s="55"/>
      <c r="M1" s="55"/>
      <c r="N1" s="165" t="s">
        <v>291</v>
      </c>
      <c r="O1" s="667"/>
    </row>
    <row r="2" spans="1:15" ht="20.25">
      <c r="A2" s="165"/>
      <c r="B2" s="666"/>
      <c r="C2" s="1564" t="str">
        <f>+'PSO TCOS'!F3</f>
        <v xml:space="preserve">AEP West SPP Member Operating Companies </v>
      </c>
      <c r="D2" s="1564"/>
      <c r="E2" s="1564"/>
      <c r="F2" s="1564"/>
      <c r="G2" s="1564"/>
      <c r="H2" s="1564"/>
      <c r="I2" s="1564"/>
      <c r="J2" s="1564"/>
      <c r="K2" s="1564"/>
      <c r="L2" s="1564"/>
      <c r="M2" s="1564"/>
      <c r="N2" s="1564"/>
      <c r="O2" s="667"/>
    </row>
    <row r="3" spans="1:15" ht="18">
      <c r="C3" s="1562" t="str">
        <f>+'PSO TCOS'!F7</f>
        <v>PUBLIC SERVICE COMPANY OF OKLAHOMA</v>
      </c>
      <c r="D3" s="1562"/>
      <c r="E3" s="1562"/>
      <c r="F3" s="1562"/>
      <c r="G3" s="1562"/>
      <c r="H3" s="1562"/>
      <c r="I3" s="1562"/>
      <c r="J3" s="1562"/>
      <c r="K3" s="1562"/>
      <c r="L3" s="1562"/>
      <c r="M3" s="1562"/>
      <c r="N3" s="1562"/>
      <c r="O3" s="667"/>
    </row>
    <row r="4" spans="1:15" ht="18">
      <c r="C4" s="1562" t="s">
        <v>1133</v>
      </c>
      <c r="D4" s="1562"/>
      <c r="E4" s="1562"/>
      <c r="F4" s="1562"/>
      <c r="G4" s="1562"/>
      <c r="H4" s="1562"/>
      <c r="I4" s="1562"/>
      <c r="J4" s="1562"/>
      <c r="K4" s="1562"/>
      <c r="L4" s="1562"/>
      <c r="M4" s="1562"/>
      <c r="N4" s="1562"/>
    </row>
    <row r="5" spans="1:15" ht="23.25" customHeight="1">
      <c r="C5" s="1568" t="str">
        <f>"AS OF DECEMBER 31, "&amp;'PSO TCOS'!N1-1&amp;""</f>
        <v>AS OF DECEMBER 31, 2018</v>
      </c>
      <c r="D5" s="1568"/>
      <c r="E5" s="1568"/>
      <c r="F5" s="1568"/>
      <c r="G5" s="1568"/>
      <c r="H5" s="1568"/>
      <c r="I5" s="1568"/>
      <c r="J5" s="1568"/>
      <c r="K5" s="1568"/>
      <c r="L5" s="1568"/>
      <c r="M5" s="1568"/>
      <c r="N5" s="1568"/>
    </row>
    <row r="6" spans="1:15">
      <c r="D6" s="38"/>
    </row>
    <row r="7" spans="1:15">
      <c r="D7" s="38"/>
      <c r="J7" s="1566" t="s">
        <v>178</v>
      </c>
      <c r="K7" s="1566"/>
      <c r="L7" s="1566"/>
      <c r="M7" s="1566"/>
      <c r="N7" s="1566"/>
    </row>
    <row r="8" spans="1:15" ht="25.5">
      <c r="C8" s="668" t="s">
        <v>439</v>
      </c>
      <c r="D8" s="113"/>
      <c r="E8" s="668" t="s">
        <v>179</v>
      </c>
      <c r="G8" s="668" t="s">
        <v>343</v>
      </c>
      <c r="H8" s="669" t="s">
        <v>353</v>
      </c>
      <c r="I8" s="193" t="s">
        <v>103</v>
      </c>
      <c r="J8" s="193" t="s">
        <v>180</v>
      </c>
      <c r="K8" s="193" t="s">
        <v>181</v>
      </c>
      <c r="L8" s="668" t="s">
        <v>182</v>
      </c>
      <c r="M8" s="668" t="s">
        <v>183</v>
      </c>
      <c r="N8" s="668" t="s">
        <v>337</v>
      </c>
    </row>
    <row r="9" spans="1:15">
      <c r="C9" s="844" t="s">
        <v>840</v>
      </c>
      <c r="D9" s="1269" t="s">
        <v>375</v>
      </c>
      <c r="E9" s="855" t="s">
        <v>1310</v>
      </c>
      <c r="F9" s="1270"/>
      <c r="G9" s="855" t="s">
        <v>1311</v>
      </c>
      <c r="H9" s="848">
        <v>-111671196</v>
      </c>
      <c r="I9" s="846" t="s">
        <v>184</v>
      </c>
      <c r="J9" s="851" t="str">
        <f t="shared" ref="J9:J46" si="0">IF(I9="e",H9," ")</f>
        <v xml:space="preserve"> </v>
      </c>
      <c r="K9" s="278" t="str">
        <f t="shared" ref="K9:K40" si="1">IF($I9="T",$H9," ")</f>
        <v xml:space="preserve"> </v>
      </c>
      <c r="L9" s="278">
        <f t="shared" ref="L9:L46" si="2">IF($I9="PTD",$H9," ")</f>
        <v>-111671196</v>
      </c>
      <c r="M9" s="851" t="str">
        <f t="shared" ref="M9:M40" si="3">IF($I9="T&amp;D",$H9," ")</f>
        <v xml:space="preserve"> </v>
      </c>
      <c r="N9" s="851" t="str">
        <f t="shared" ref="N9:N46" si="4">IF(I9="Labor",H9," ")</f>
        <v xml:space="preserve"> </v>
      </c>
    </row>
    <row r="10" spans="1:15">
      <c r="C10" s="844" t="s">
        <v>840</v>
      </c>
      <c r="D10" s="1269" t="s">
        <v>375</v>
      </c>
      <c r="E10" s="855" t="s">
        <v>1025</v>
      </c>
      <c r="F10" s="1270"/>
      <c r="G10" s="855" t="s">
        <v>1529</v>
      </c>
      <c r="H10" s="848">
        <v>-333066836.94999999</v>
      </c>
      <c r="I10" s="846" t="s">
        <v>184</v>
      </c>
      <c r="J10" s="851" t="str">
        <f t="shared" si="0"/>
        <v xml:space="preserve"> </v>
      </c>
      <c r="K10" s="278" t="str">
        <f t="shared" si="1"/>
        <v xml:space="preserve"> </v>
      </c>
      <c r="L10" s="278">
        <f t="shared" si="2"/>
        <v>-333066836.94999999</v>
      </c>
      <c r="M10" s="851" t="str">
        <f t="shared" si="3"/>
        <v xml:space="preserve"> </v>
      </c>
      <c r="N10" s="851" t="str">
        <f t="shared" si="4"/>
        <v xml:space="preserve"> </v>
      </c>
    </row>
    <row r="11" spans="1:15">
      <c r="C11" s="844" t="s">
        <v>840</v>
      </c>
      <c r="D11" s="1269" t="s">
        <v>375</v>
      </c>
      <c r="E11" s="855" t="s">
        <v>1026</v>
      </c>
      <c r="F11" s="1270"/>
      <c r="G11" s="855" t="s">
        <v>841</v>
      </c>
      <c r="H11" s="848">
        <v>0</v>
      </c>
      <c r="I11" s="846" t="s">
        <v>184</v>
      </c>
      <c r="J11" s="851" t="str">
        <f t="shared" si="0"/>
        <v xml:space="preserve"> </v>
      </c>
      <c r="K11" s="278" t="str">
        <f t="shared" si="1"/>
        <v xml:space="preserve"> </v>
      </c>
      <c r="L11" s="278">
        <f t="shared" si="2"/>
        <v>0</v>
      </c>
      <c r="M11" s="851" t="str">
        <f t="shared" si="3"/>
        <v xml:space="preserve"> </v>
      </c>
      <c r="N11" s="851" t="str">
        <f t="shared" si="4"/>
        <v xml:space="preserve"> </v>
      </c>
    </row>
    <row r="12" spans="1:15">
      <c r="C12" s="844" t="s">
        <v>840</v>
      </c>
      <c r="D12" s="1269" t="s">
        <v>375</v>
      </c>
      <c r="E12" s="855" t="s">
        <v>1312</v>
      </c>
      <c r="F12" s="1270"/>
      <c r="G12" s="855" t="s">
        <v>1313</v>
      </c>
      <c r="H12" s="848">
        <v>-10168602.6</v>
      </c>
      <c r="I12" s="846" t="s">
        <v>184</v>
      </c>
      <c r="J12" s="851" t="str">
        <f t="shared" si="0"/>
        <v xml:space="preserve"> </v>
      </c>
      <c r="K12" s="278" t="str">
        <f t="shared" si="1"/>
        <v xml:space="preserve"> </v>
      </c>
      <c r="L12" s="278">
        <f t="shared" si="2"/>
        <v>-10168602.6</v>
      </c>
      <c r="M12" s="851" t="str">
        <f t="shared" si="3"/>
        <v xml:space="preserve"> </v>
      </c>
      <c r="N12" s="851" t="str">
        <f t="shared" si="4"/>
        <v xml:space="preserve"> </v>
      </c>
    </row>
    <row r="13" spans="1:15">
      <c r="C13" s="844" t="s">
        <v>840</v>
      </c>
      <c r="D13" s="1269" t="s">
        <v>375</v>
      </c>
      <c r="E13" s="855" t="s">
        <v>1027</v>
      </c>
      <c r="F13" s="1270"/>
      <c r="G13" s="855" t="s">
        <v>842</v>
      </c>
      <c r="H13" s="848">
        <v>-754633.53</v>
      </c>
      <c r="I13" s="846" t="s">
        <v>184</v>
      </c>
      <c r="J13" s="851" t="str">
        <f t="shared" si="0"/>
        <v xml:space="preserve"> </v>
      </c>
      <c r="K13" s="278" t="str">
        <f t="shared" si="1"/>
        <v xml:space="preserve"> </v>
      </c>
      <c r="L13" s="278">
        <f t="shared" si="2"/>
        <v>-754633.53</v>
      </c>
      <c r="M13" s="851" t="str">
        <f t="shared" si="3"/>
        <v xml:space="preserve"> </v>
      </c>
      <c r="N13" s="851" t="str">
        <f t="shared" si="4"/>
        <v xml:space="preserve"> </v>
      </c>
    </row>
    <row r="14" spans="1:15">
      <c r="C14" s="844" t="s">
        <v>840</v>
      </c>
      <c r="D14" s="1269"/>
      <c r="E14" s="855" t="s">
        <v>1028</v>
      </c>
      <c r="F14" s="1270"/>
      <c r="G14" s="855" t="s">
        <v>843</v>
      </c>
      <c r="H14" s="848">
        <v>55574.82</v>
      </c>
      <c r="I14" s="846" t="s">
        <v>184</v>
      </c>
      <c r="J14" s="851" t="str">
        <f t="shared" si="0"/>
        <v xml:space="preserve"> </v>
      </c>
      <c r="K14" s="278" t="str">
        <f t="shared" si="1"/>
        <v xml:space="preserve"> </v>
      </c>
      <c r="L14" s="278">
        <f t="shared" si="2"/>
        <v>55574.82</v>
      </c>
      <c r="M14" s="851" t="str">
        <f t="shared" si="3"/>
        <v xml:space="preserve"> </v>
      </c>
      <c r="N14" s="851" t="str">
        <f t="shared" si="4"/>
        <v xml:space="preserve"> </v>
      </c>
    </row>
    <row r="15" spans="1:15">
      <c r="C15" s="844" t="s">
        <v>840</v>
      </c>
      <c r="D15" s="1269"/>
      <c r="E15" s="855" t="s">
        <v>1029</v>
      </c>
      <c r="F15" s="1270"/>
      <c r="G15" s="855" t="s">
        <v>844</v>
      </c>
      <c r="H15" s="848">
        <v>-2261126.4900000002</v>
      </c>
      <c r="I15" s="846" t="s">
        <v>184</v>
      </c>
      <c r="J15" s="851" t="str">
        <f t="shared" si="0"/>
        <v xml:space="preserve"> </v>
      </c>
      <c r="K15" s="278" t="str">
        <f t="shared" si="1"/>
        <v xml:space="preserve"> </v>
      </c>
      <c r="L15" s="278">
        <f t="shared" si="2"/>
        <v>-2261126.4900000002</v>
      </c>
      <c r="M15" s="851" t="str">
        <f t="shared" si="3"/>
        <v xml:space="preserve"> </v>
      </c>
      <c r="N15" s="851" t="str">
        <f t="shared" si="4"/>
        <v xml:space="preserve"> </v>
      </c>
    </row>
    <row r="16" spans="1:15">
      <c r="C16" s="844" t="s">
        <v>840</v>
      </c>
      <c r="D16" s="1269"/>
      <c r="E16" s="855" t="s">
        <v>1030</v>
      </c>
      <c r="F16" s="1270"/>
      <c r="G16" s="855" t="s">
        <v>847</v>
      </c>
      <c r="H16" s="848">
        <v>-5162351.42</v>
      </c>
      <c r="I16" s="846" t="s">
        <v>328</v>
      </c>
      <c r="J16" s="851">
        <f t="shared" si="0"/>
        <v>-5162351.42</v>
      </c>
      <c r="K16" s="278" t="str">
        <f t="shared" si="1"/>
        <v xml:space="preserve"> </v>
      </c>
      <c r="L16" s="278" t="str">
        <f t="shared" si="2"/>
        <v xml:space="preserve"> </v>
      </c>
      <c r="M16" s="851" t="str">
        <f t="shared" si="3"/>
        <v xml:space="preserve"> </v>
      </c>
      <c r="N16" s="851" t="str">
        <f t="shared" si="4"/>
        <v xml:space="preserve"> </v>
      </c>
    </row>
    <row r="17" spans="3:14">
      <c r="C17" s="844" t="s">
        <v>840</v>
      </c>
      <c r="D17" s="1269" t="s">
        <v>375</v>
      </c>
      <c r="E17" s="855" t="s">
        <v>1031</v>
      </c>
      <c r="F17" s="1270"/>
      <c r="G17" s="855" t="s">
        <v>848</v>
      </c>
      <c r="H17" s="848">
        <v>-413091.96</v>
      </c>
      <c r="I17" s="846" t="s">
        <v>184</v>
      </c>
      <c r="J17" s="851" t="str">
        <f t="shared" si="0"/>
        <v xml:space="preserve"> </v>
      </c>
      <c r="K17" s="278" t="str">
        <f t="shared" si="1"/>
        <v xml:space="preserve"> </v>
      </c>
      <c r="L17" s="278">
        <f t="shared" si="2"/>
        <v>-413091.96</v>
      </c>
      <c r="M17" s="851" t="str">
        <f t="shared" si="3"/>
        <v xml:space="preserve"> </v>
      </c>
      <c r="N17" s="851" t="str">
        <f t="shared" si="4"/>
        <v xml:space="preserve"> </v>
      </c>
    </row>
    <row r="18" spans="3:14">
      <c r="C18" s="844" t="s">
        <v>840</v>
      </c>
      <c r="D18" s="1269" t="s">
        <v>375</v>
      </c>
      <c r="E18" s="855" t="s">
        <v>1032</v>
      </c>
      <c r="F18" s="1270"/>
      <c r="G18" s="855" t="s">
        <v>849</v>
      </c>
      <c r="H18" s="848">
        <v>1877225.71</v>
      </c>
      <c r="I18" s="846" t="s">
        <v>184</v>
      </c>
      <c r="J18" s="851" t="str">
        <f t="shared" si="0"/>
        <v xml:space="preserve"> </v>
      </c>
      <c r="K18" s="278" t="str">
        <f t="shared" si="1"/>
        <v xml:space="preserve"> </v>
      </c>
      <c r="L18" s="278">
        <f t="shared" si="2"/>
        <v>1877225.71</v>
      </c>
      <c r="M18" s="851" t="str">
        <f t="shared" si="3"/>
        <v xml:space="preserve"> </v>
      </c>
      <c r="N18" s="851" t="str">
        <f t="shared" si="4"/>
        <v xml:space="preserve"> </v>
      </c>
    </row>
    <row r="19" spans="3:14">
      <c r="C19" s="844" t="s">
        <v>840</v>
      </c>
      <c r="D19" s="1269" t="s">
        <v>375</v>
      </c>
      <c r="E19" s="855" t="s">
        <v>1033</v>
      </c>
      <c r="F19" s="1270"/>
      <c r="G19" s="855" t="s">
        <v>850</v>
      </c>
      <c r="H19" s="848">
        <v>-1730874.39</v>
      </c>
      <c r="I19" s="846" t="s">
        <v>184</v>
      </c>
      <c r="J19" s="851" t="str">
        <f t="shared" si="0"/>
        <v xml:space="preserve"> </v>
      </c>
      <c r="K19" s="278" t="str">
        <f t="shared" si="1"/>
        <v xml:space="preserve"> </v>
      </c>
      <c r="L19" s="278">
        <f t="shared" si="2"/>
        <v>-1730874.39</v>
      </c>
      <c r="M19" s="851" t="str">
        <f t="shared" si="3"/>
        <v xml:space="preserve"> </v>
      </c>
      <c r="N19" s="851" t="str">
        <f t="shared" si="4"/>
        <v xml:space="preserve"> </v>
      </c>
    </row>
    <row r="20" spans="3:14">
      <c r="C20" s="844" t="s">
        <v>840</v>
      </c>
      <c r="D20" s="1269" t="s">
        <v>375</v>
      </c>
      <c r="E20" s="855" t="s">
        <v>1034</v>
      </c>
      <c r="F20" s="1270"/>
      <c r="G20" s="855" t="s">
        <v>851</v>
      </c>
      <c r="H20" s="848">
        <v>-6275726.9000000004</v>
      </c>
      <c r="I20" s="846" t="s">
        <v>184</v>
      </c>
      <c r="J20" s="851" t="str">
        <f t="shared" si="0"/>
        <v xml:space="preserve"> </v>
      </c>
      <c r="K20" s="278" t="str">
        <f t="shared" si="1"/>
        <v xml:space="preserve"> </v>
      </c>
      <c r="L20" s="278">
        <f t="shared" si="2"/>
        <v>-6275726.9000000004</v>
      </c>
      <c r="M20" s="851" t="str">
        <f t="shared" si="3"/>
        <v xml:space="preserve"> </v>
      </c>
      <c r="N20" s="851" t="str">
        <f t="shared" si="4"/>
        <v xml:space="preserve"> </v>
      </c>
    </row>
    <row r="21" spans="3:14">
      <c r="C21" s="844" t="s">
        <v>840</v>
      </c>
      <c r="D21" s="1269" t="s">
        <v>375</v>
      </c>
      <c r="E21" s="855" t="s">
        <v>1035</v>
      </c>
      <c r="F21" s="1270"/>
      <c r="G21" s="855" t="s">
        <v>852</v>
      </c>
      <c r="H21" s="848">
        <v>11510918.619999999</v>
      </c>
      <c r="I21" s="846" t="s">
        <v>184</v>
      </c>
      <c r="J21" s="851" t="str">
        <f t="shared" si="0"/>
        <v xml:space="preserve"> </v>
      </c>
      <c r="K21" s="278" t="str">
        <f t="shared" si="1"/>
        <v xml:space="preserve"> </v>
      </c>
      <c r="L21" s="278">
        <f t="shared" si="2"/>
        <v>11510918.619999999</v>
      </c>
      <c r="M21" s="851" t="str">
        <f t="shared" si="3"/>
        <v xml:space="preserve"> </v>
      </c>
      <c r="N21" s="851" t="str">
        <f t="shared" si="4"/>
        <v xml:space="preserve"> </v>
      </c>
    </row>
    <row r="22" spans="3:14">
      <c r="C22" s="844" t="s">
        <v>840</v>
      </c>
      <c r="D22" s="1269" t="s">
        <v>375</v>
      </c>
      <c r="E22" s="855" t="s">
        <v>1036</v>
      </c>
      <c r="F22" s="1270"/>
      <c r="G22" s="855" t="s">
        <v>853</v>
      </c>
      <c r="H22" s="848">
        <v>11430066.060000001</v>
      </c>
      <c r="I22" s="846" t="s">
        <v>328</v>
      </c>
      <c r="J22" s="851">
        <f t="shared" si="0"/>
        <v>11430066.060000001</v>
      </c>
      <c r="K22" s="278" t="str">
        <f t="shared" si="1"/>
        <v xml:space="preserve"> </v>
      </c>
      <c r="L22" s="278" t="str">
        <f t="shared" si="2"/>
        <v xml:space="preserve"> </v>
      </c>
      <c r="M22" s="851" t="str">
        <f t="shared" si="3"/>
        <v xml:space="preserve"> </v>
      </c>
      <c r="N22" s="851" t="str">
        <f t="shared" si="4"/>
        <v xml:space="preserve"> </v>
      </c>
    </row>
    <row r="23" spans="3:14">
      <c r="C23" s="844" t="s">
        <v>840</v>
      </c>
      <c r="D23" s="1269" t="s">
        <v>375</v>
      </c>
      <c r="E23" s="855" t="s">
        <v>1037</v>
      </c>
      <c r="F23" s="1270"/>
      <c r="G23" s="855" t="s">
        <v>854</v>
      </c>
      <c r="H23" s="848">
        <v>-40006.199999999997</v>
      </c>
      <c r="I23" s="846" t="s">
        <v>184</v>
      </c>
      <c r="J23" s="851" t="str">
        <f t="shared" si="0"/>
        <v xml:space="preserve"> </v>
      </c>
      <c r="K23" s="278" t="str">
        <f t="shared" si="1"/>
        <v xml:space="preserve"> </v>
      </c>
      <c r="L23" s="278">
        <f t="shared" si="2"/>
        <v>-40006.199999999997</v>
      </c>
      <c r="M23" s="851" t="str">
        <f t="shared" si="3"/>
        <v xml:space="preserve"> </v>
      </c>
      <c r="N23" s="851" t="str">
        <f t="shared" si="4"/>
        <v xml:space="preserve"> </v>
      </c>
    </row>
    <row r="24" spans="3:14">
      <c r="C24" s="844" t="s">
        <v>840</v>
      </c>
      <c r="D24" s="1269" t="s">
        <v>375</v>
      </c>
      <c r="E24" s="855" t="s">
        <v>1038</v>
      </c>
      <c r="F24" s="1270"/>
      <c r="G24" s="855" t="s">
        <v>855</v>
      </c>
      <c r="H24" s="848">
        <v>-13616608.710000001</v>
      </c>
      <c r="I24" s="846" t="s">
        <v>184</v>
      </c>
      <c r="J24" s="851" t="str">
        <f t="shared" si="0"/>
        <v xml:space="preserve"> </v>
      </c>
      <c r="K24" s="278" t="str">
        <f t="shared" si="1"/>
        <v xml:space="preserve"> </v>
      </c>
      <c r="L24" s="278">
        <f t="shared" si="2"/>
        <v>-13616608.710000001</v>
      </c>
      <c r="M24" s="851" t="str">
        <f t="shared" si="3"/>
        <v xml:space="preserve"> </v>
      </c>
      <c r="N24" s="851" t="str">
        <f t="shared" si="4"/>
        <v xml:space="preserve"> </v>
      </c>
    </row>
    <row r="25" spans="3:14">
      <c r="C25" s="844" t="s">
        <v>840</v>
      </c>
      <c r="D25" s="1269" t="s">
        <v>375</v>
      </c>
      <c r="E25" s="855" t="s">
        <v>1039</v>
      </c>
      <c r="F25" s="1270"/>
      <c r="G25" s="855" t="s">
        <v>856</v>
      </c>
      <c r="H25" s="848">
        <v>-39202900.590000004</v>
      </c>
      <c r="I25" s="846" t="s">
        <v>184</v>
      </c>
      <c r="J25" s="851" t="str">
        <f t="shared" si="0"/>
        <v xml:space="preserve"> </v>
      </c>
      <c r="K25" s="278" t="str">
        <f t="shared" si="1"/>
        <v xml:space="preserve"> </v>
      </c>
      <c r="L25" s="278">
        <f t="shared" si="2"/>
        <v>-39202900.590000004</v>
      </c>
      <c r="M25" s="851" t="str">
        <f t="shared" si="3"/>
        <v xml:space="preserve"> </v>
      </c>
      <c r="N25" s="851" t="str">
        <f t="shared" si="4"/>
        <v xml:space="preserve"> </v>
      </c>
    </row>
    <row r="26" spans="3:14">
      <c r="C26" s="844" t="s">
        <v>840</v>
      </c>
      <c r="D26" s="1269" t="s">
        <v>375</v>
      </c>
      <c r="E26" s="855" t="s">
        <v>1040</v>
      </c>
      <c r="F26" s="1270"/>
      <c r="G26" s="855" t="s">
        <v>857</v>
      </c>
      <c r="H26" s="848">
        <v>-23666358.030000001</v>
      </c>
      <c r="I26" s="846" t="s">
        <v>184</v>
      </c>
      <c r="J26" s="851" t="str">
        <f t="shared" si="0"/>
        <v xml:space="preserve"> </v>
      </c>
      <c r="K26" s="278" t="str">
        <f t="shared" si="1"/>
        <v xml:space="preserve"> </v>
      </c>
      <c r="L26" s="278">
        <f t="shared" si="2"/>
        <v>-23666358.030000001</v>
      </c>
      <c r="M26" s="851" t="str">
        <f t="shared" si="3"/>
        <v xml:space="preserve"> </v>
      </c>
      <c r="N26" s="851" t="str">
        <f t="shared" si="4"/>
        <v xml:space="preserve"> </v>
      </c>
    </row>
    <row r="27" spans="3:14">
      <c r="C27" s="844" t="s">
        <v>840</v>
      </c>
      <c r="D27" s="1479"/>
      <c r="E27" s="855" t="s">
        <v>1495</v>
      </c>
      <c r="F27" s="1270"/>
      <c r="G27" s="855" t="s">
        <v>1496</v>
      </c>
      <c r="H27" s="848">
        <v>-1252192.1399999999</v>
      </c>
      <c r="I27" s="846" t="s">
        <v>328</v>
      </c>
      <c r="J27" s="851">
        <f t="shared" si="0"/>
        <v>-1252192.1399999999</v>
      </c>
      <c r="K27" s="278" t="str">
        <f t="shared" si="1"/>
        <v xml:space="preserve"> </v>
      </c>
      <c r="L27" s="278" t="str">
        <f t="shared" si="2"/>
        <v xml:space="preserve"> </v>
      </c>
      <c r="M27" s="851" t="str">
        <f t="shared" si="3"/>
        <v xml:space="preserve"> </v>
      </c>
      <c r="N27" s="851" t="str">
        <f t="shared" si="4"/>
        <v xml:space="preserve"> </v>
      </c>
    </row>
    <row r="28" spans="3:14">
      <c r="C28" s="844" t="s">
        <v>840</v>
      </c>
      <c r="D28" s="1269" t="s">
        <v>375</v>
      </c>
      <c r="E28" s="855" t="s">
        <v>1041</v>
      </c>
      <c r="F28" s="1270"/>
      <c r="G28" s="855" t="s">
        <v>858</v>
      </c>
      <c r="H28" s="848">
        <v>-12878874.75</v>
      </c>
      <c r="I28" s="846" t="s">
        <v>184</v>
      </c>
      <c r="J28" s="851" t="str">
        <f t="shared" si="0"/>
        <v xml:space="preserve"> </v>
      </c>
      <c r="K28" s="278" t="str">
        <f t="shared" si="1"/>
        <v xml:space="preserve"> </v>
      </c>
      <c r="L28" s="278">
        <f t="shared" si="2"/>
        <v>-12878874.75</v>
      </c>
      <c r="M28" s="851" t="str">
        <f t="shared" si="3"/>
        <v xml:space="preserve"> </v>
      </c>
      <c r="N28" s="851" t="str">
        <f t="shared" si="4"/>
        <v xml:space="preserve"> </v>
      </c>
    </row>
    <row r="29" spans="3:14">
      <c r="C29" s="844" t="s">
        <v>840</v>
      </c>
      <c r="D29" s="1269" t="s">
        <v>375</v>
      </c>
      <c r="E29" s="855" t="s">
        <v>1314</v>
      </c>
      <c r="F29" s="1270"/>
      <c r="G29" s="855" t="s">
        <v>1315</v>
      </c>
      <c r="H29" s="848">
        <v>-106803</v>
      </c>
      <c r="I29" s="846" t="s">
        <v>184</v>
      </c>
      <c r="J29" s="851" t="str">
        <f t="shared" si="0"/>
        <v xml:space="preserve"> </v>
      </c>
      <c r="K29" s="278" t="str">
        <f t="shared" si="1"/>
        <v xml:space="preserve"> </v>
      </c>
      <c r="L29" s="278">
        <f t="shared" si="2"/>
        <v>-106803</v>
      </c>
      <c r="M29" s="851" t="str">
        <f t="shared" si="3"/>
        <v xml:space="preserve"> </v>
      </c>
      <c r="N29" s="851" t="str">
        <f t="shared" si="4"/>
        <v xml:space="preserve"> </v>
      </c>
    </row>
    <row r="30" spans="3:14">
      <c r="C30" s="844" t="s">
        <v>840</v>
      </c>
      <c r="D30" s="1269" t="s">
        <v>375</v>
      </c>
      <c r="E30" s="855" t="s">
        <v>1042</v>
      </c>
      <c r="F30" s="1270"/>
      <c r="G30" s="855" t="s">
        <v>859</v>
      </c>
      <c r="H30" s="848">
        <v>3241027.2</v>
      </c>
      <c r="I30" s="846" t="s">
        <v>328</v>
      </c>
      <c r="J30" s="851">
        <f t="shared" si="0"/>
        <v>3241027.2</v>
      </c>
      <c r="K30" s="278" t="str">
        <f t="shared" si="1"/>
        <v xml:space="preserve"> </v>
      </c>
      <c r="L30" s="278" t="str">
        <f t="shared" si="2"/>
        <v xml:space="preserve"> </v>
      </c>
      <c r="M30" s="851" t="str">
        <f t="shared" si="3"/>
        <v xml:space="preserve"> </v>
      </c>
      <c r="N30" s="851" t="str">
        <f t="shared" si="4"/>
        <v xml:space="preserve"> </v>
      </c>
    </row>
    <row r="31" spans="3:14">
      <c r="C31" s="844" t="s">
        <v>840</v>
      </c>
      <c r="D31" s="1269" t="s">
        <v>375</v>
      </c>
      <c r="E31" s="855" t="s">
        <v>987</v>
      </c>
      <c r="F31" s="1270"/>
      <c r="G31" s="855" t="s">
        <v>988</v>
      </c>
      <c r="H31" s="848">
        <v>30622.12</v>
      </c>
      <c r="I31" s="846" t="s">
        <v>328</v>
      </c>
      <c r="J31" s="851">
        <f t="shared" si="0"/>
        <v>30622.12</v>
      </c>
      <c r="K31" s="278" t="str">
        <f t="shared" si="1"/>
        <v xml:space="preserve"> </v>
      </c>
      <c r="L31" s="278" t="str">
        <f t="shared" si="2"/>
        <v xml:space="preserve"> </v>
      </c>
      <c r="M31" s="851" t="str">
        <f t="shared" si="3"/>
        <v xml:space="preserve"> </v>
      </c>
      <c r="N31" s="851" t="str">
        <f t="shared" si="4"/>
        <v xml:space="preserve"> </v>
      </c>
    </row>
    <row r="32" spans="3:14">
      <c r="C32" s="844" t="s">
        <v>840</v>
      </c>
      <c r="D32" s="1269" t="s">
        <v>375</v>
      </c>
      <c r="E32" s="855" t="s">
        <v>1316</v>
      </c>
      <c r="F32" s="1270"/>
      <c r="G32" s="855" t="s">
        <v>1317</v>
      </c>
      <c r="H32" s="848">
        <v>19092.03</v>
      </c>
      <c r="I32" s="846" t="s">
        <v>328</v>
      </c>
      <c r="J32" s="851">
        <f t="shared" si="0"/>
        <v>19092.03</v>
      </c>
      <c r="K32" s="278" t="str">
        <f t="shared" si="1"/>
        <v xml:space="preserve"> </v>
      </c>
      <c r="L32" s="278" t="str">
        <f t="shared" si="2"/>
        <v xml:space="preserve"> </v>
      </c>
      <c r="M32" s="851" t="str">
        <f t="shared" si="3"/>
        <v xml:space="preserve"> </v>
      </c>
      <c r="N32" s="851" t="str">
        <f t="shared" si="4"/>
        <v xml:space="preserve"> </v>
      </c>
    </row>
    <row r="33" spans="3:14">
      <c r="C33" s="844" t="s">
        <v>840</v>
      </c>
      <c r="D33" s="1269" t="s">
        <v>375</v>
      </c>
      <c r="E33" s="855" t="s">
        <v>1318</v>
      </c>
      <c r="F33" s="1270"/>
      <c r="G33" s="855" t="s">
        <v>1319</v>
      </c>
      <c r="H33" s="848">
        <v>80503.11</v>
      </c>
      <c r="I33" s="846" t="s">
        <v>328</v>
      </c>
      <c r="J33" s="851">
        <f t="shared" si="0"/>
        <v>80503.11</v>
      </c>
      <c r="K33" s="278" t="str">
        <f t="shared" si="1"/>
        <v xml:space="preserve"> </v>
      </c>
      <c r="L33" s="278" t="str">
        <f t="shared" si="2"/>
        <v xml:space="preserve"> </v>
      </c>
      <c r="M33" s="851" t="str">
        <f t="shared" si="3"/>
        <v xml:space="preserve"> </v>
      </c>
      <c r="N33" s="851" t="str">
        <f t="shared" si="4"/>
        <v xml:space="preserve"> </v>
      </c>
    </row>
    <row r="34" spans="3:14">
      <c r="C34" s="844" t="s">
        <v>840</v>
      </c>
      <c r="D34" s="1269" t="s">
        <v>375</v>
      </c>
      <c r="E34" s="855" t="s">
        <v>1320</v>
      </c>
      <c r="F34" s="1270"/>
      <c r="G34" s="855" t="s">
        <v>1321</v>
      </c>
      <c r="H34" s="848">
        <v>90473.39</v>
      </c>
      <c r="I34" s="846" t="s">
        <v>328</v>
      </c>
      <c r="J34" s="851">
        <f t="shared" si="0"/>
        <v>90473.39</v>
      </c>
      <c r="K34" s="278" t="str">
        <f t="shared" si="1"/>
        <v xml:space="preserve"> </v>
      </c>
      <c r="L34" s="278" t="str">
        <f t="shared" si="2"/>
        <v xml:space="preserve"> </v>
      </c>
      <c r="M34" s="851" t="str">
        <f t="shared" si="3"/>
        <v xml:space="preserve"> </v>
      </c>
      <c r="N34" s="851" t="str">
        <f t="shared" si="4"/>
        <v xml:space="preserve"> </v>
      </c>
    </row>
    <row r="35" spans="3:14">
      <c r="C35" s="844" t="s">
        <v>840</v>
      </c>
      <c r="D35" s="1269" t="s">
        <v>375</v>
      </c>
      <c r="E35" s="855" t="s">
        <v>1043</v>
      </c>
      <c r="F35" s="1270"/>
      <c r="G35" s="855" t="s">
        <v>864</v>
      </c>
      <c r="H35" s="848">
        <v>2282.91</v>
      </c>
      <c r="I35" s="846" t="s">
        <v>337</v>
      </c>
      <c r="J35" s="851" t="str">
        <f t="shared" si="0"/>
        <v xml:space="preserve"> </v>
      </c>
      <c r="K35" s="278" t="str">
        <f t="shared" si="1"/>
        <v xml:space="preserve"> </v>
      </c>
      <c r="L35" s="278" t="str">
        <f t="shared" si="2"/>
        <v xml:space="preserve"> </v>
      </c>
      <c r="M35" s="851" t="str">
        <f t="shared" si="3"/>
        <v xml:space="preserve"> </v>
      </c>
      <c r="N35" s="851">
        <f t="shared" si="4"/>
        <v>2282.91</v>
      </c>
    </row>
    <row r="36" spans="3:14">
      <c r="C36" s="844" t="s">
        <v>840</v>
      </c>
      <c r="D36" s="1269" t="s">
        <v>375</v>
      </c>
      <c r="E36" s="855" t="s">
        <v>1044</v>
      </c>
      <c r="F36" s="1270"/>
      <c r="G36" s="855" t="s">
        <v>865</v>
      </c>
      <c r="H36" s="848">
        <v>-20248.63</v>
      </c>
      <c r="I36" s="846" t="s">
        <v>184</v>
      </c>
      <c r="J36" s="851" t="str">
        <f t="shared" si="0"/>
        <v xml:space="preserve"> </v>
      </c>
      <c r="K36" s="278" t="str">
        <f t="shared" si="1"/>
        <v xml:space="preserve"> </v>
      </c>
      <c r="L36" s="278">
        <f t="shared" si="2"/>
        <v>-20248.63</v>
      </c>
      <c r="M36" s="851" t="str">
        <f t="shared" si="3"/>
        <v xml:space="preserve"> </v>
      </c>
      <c r="N36" s="851" t="str">
        <f t="shared" si="4"/>
        <v xml:space="preserve"> </v>
      </c>
    </row>
    <row r="37" spans="3:14">
      <c r="C37" s="844" t="s">
        <v>840</v>
      </c>
      <c r="D37" s="1269" t="s">
        <v>375</v>
      </c>
      <c r="E37" s="855" t="s">
        <v>1045</v>
      </c>
      <c r="F37" s="1270"/>
      <c r="G37" s="855" t="s">
        <v>866</v>
      </c>
      <c r="H37" s="848">
        <v>-10127793.34</v>
      </c>
      <c r="I37" s="846" t="s">
        <v>337</v>
      </c>
      <c r="J37" s="851" t="str">
        <f t="shared" si="0"/>
        <v xml:space="preserve"> </v>
      </c>
      <c r="K37" s="278" t="str">
        <f t="shared" si="1"/>
        <v xml:space="preserve"> </v>
      </c>
      <c r="L37" s="278" t="str">
        <f t="shared" si="2"/>
        <v xml:space="preserve"> </v>
      </c>
      <c r="M37" s="851" t="str">
        <f t="shared" si="3"/>
        <v xml:space="preserve"> </v>
      </c>
      <c r="N37" s="851">
        <f t="shared" si="4"/>
        <v>-10127793.34</v>
      </c>
    </row>
    <row r="38" spans="3:14">
      <c r="C38" s="844" t="s">
        <v>840</v>
      </c>
      <c r="D38" s="1269" t="s">
        <v>375</v>
      </c>
      <c r="E38" s="855" t="s">
        <v>1046</v>
      </c>
      <c r="F38" s="1270"/>
      <c r="G38" s="855" t="s">
        <v>868</v>
      </c>
      <c r="H38" s="848">
        <v>-67138666.290000007</v>
      </c>
      <c r="I38" s="846" t="s">
        <v>184</v>
      </c>
      <c r="J38" s="851" t="str">
        <f t="shared" si="0"/>
        <v xml:space="preserve"> </v>
      </c>
      <c r="K38" s="278" t="str">
        <f t="shared" si="1"/>
        <v xml:space="preserve"> </v>
      </c>
      <c r="L38" s="278">
        <f t="shared" si="2"/>
        <v>-67138666.290000007</v>
      </c>
      <c r="M38" s="851" t="str">
        <f t="shared" si="3"/>
        <v xml:space="preserve"> </v>
      </c>
      <c r="N38" s="851" t="str">
        <f t="shared" si="4"/>
        <v xml:space="preserve"> </v>
      </c>
    </row>
    <row r="39" spans="3:14">
      <c r="C39" s="844" t="s">
        <v>840</v>
      </c>
      <c r="D39" s="1269" t="s">
        <v>375</v>
      </c>
      <c r="E39" s="855" t="s">
        <v>1322</v>
      </c>
      <c r="F39" s="1270"/>
      <c r="G39" s="855" t="s">
        <v>1323</v>
      </c>
      <c r="H39" s="848">
        <v>8692056.5999999996</v>
      </c>
      <c r="I39" s="846" t="s">
        <v>184</v>
      </c>
      <c r="J39" s="851" t="str">
        <f t="shared" si="0"/>
        <v xml:space="preserve"> </v>
      </c>
      <c r="K39" s="278" t="str">
        <f t="shared" si="1"/>
        <v xml:space="preserve"> </v>
      </c>
      <c r="L39" s="278">
        <f t="shared" si="2"/>
        <v>8692056.5999999996</v>
      </c>
      <c r="M39" s="851" t="str">
        <f t="shared" si="3"/>
        <v xml:space="preserve"> </v>
      </c>
      <c r="N39" s="851" t="str">
        <f t="shared" si="4"/>
        <v xml:space="preserve"> </v>
      </c>
    </row>
    <row r="40" spans="3:14">
      <c r="C40" s="844" t="s">
        <v>840</v>
      </c>
      <c r="D40" s="1269" t="s">
        <v>375</v>
      </c>
      <c r="E40" s="855" t="s">
        <v>1047</v>
      </c>
      <c r="F40" s="1270"/>
      <c r="G40" s="855" t="s">
        <v>907</v>
      </c>
      <c r="H40" s="848">
        <v>-1764153.36</v>
      </c>
      <c r="I40" s="846" t="s">
        <v>328</v>
      </c>
      <c r="J40" s="851">
        <f t="shared" si="0"/>
        <v>-1764153.36</v>
      </c>
      <c r="K40" s="278" t="str">
        <f t="shared" si="1"/>
        <v xml:space="preserve"> </v>
      </c>
      <c r="L40" s="278" t="str">
        <f t="shared" si="2"/>
        <v xml:space="preserve"> </v>
      </c>
      <c r="M40" s="851" t="str">
        <f t="shared" si="3"/>
        <v xml:space="preserve"> </v>
      </c>
      <c r="N40" s="851" t="str">
        <f t="shared" si="4"/>
        <v xml:space="preserve"> </v>
      </c>
    </row>
    <row r="41" spans="3:14">
      <c r="C41" s="844" t="s">
        <v>840</v>
      </c>
      <c r="D41" s="1269" t="s">
        <v>375</v>
      </c>
      <c r="E41" s="855" t="s">
        <v>1324</v>
      </c>
      <c r="F41" s="1270"/>
      <c r="G41" s="855" t="s">
        <v>1325</v>
      </c>
      <c r="H41" s="848">
        <v>386635.2</v>
      </c>
      <c r="I41" s="846" t="s">
        <v>328</v>
      </c>
      <c r="J41" s="851">
        <f t="shared" si="0"/>
        <v>386635.2</v>
      </c>
      <c r="K41" s="278" t="str">
        <f t="shared" ref="K41:K46" si="5">IF($I40="T",$H41," ")</f>
        <v xml:space="preserve"> </v>
      </c>
      <c r="L41" s="278" t="str">
        <f t="shared" si="2"/>
        <v xml:space="preserve"> </v>
      </c>
      <c r="M41" s="851" t="str">
        <f t="shared" ref="M41:M46" si="6">IF($I40="T&amp;D",$H41," ")</f>
        <v xml:space="preserve"> </v>
      </c>
      <c r="N41" s="851" t="str">
        <f t="shared" si="4"/>
        <v xml:space="preserve"> </v>
      </c>
    </row>
    <row r="42" spans="3:14">
      <c r="C42" s="844" t="s">
        <v>840</v>
      </c>
      <c r="D42" s="1269" t="s">
        <v>375</v>
      </c>
      <c r="E42" s="855" t="s">
        <v>1326</v>
      </c>
      <c r="F42" s="1270"/>
      <c r="G42" s="855" t="s">
        <v>1327</v>
      </c>
      <c r="H42" s="848">
        <v>-81039</v>
      </c>
      <c r="I42" s="846" t="s">
        <v>184</v>
      </c>
      <c r="J42" s="851" t="str">
        <f t="shared" si="0"/>
        <v xml:space="preserve"> </v>
      </c>
      <c r="K42" s="278" t="str">
        <f t="shared" si="5"/>
        <v xml:space="preserve"> </v>
      </c>
      <c r="L42" s="278">
        <f t="shared" si="2"/>
        <v>-81039</v>
      </c>
      <c r="M42" s="851" t="str">
        <f t="shared" si="6"/>
        <v xml:space="preserve"> </v>
      </c>
      <c r="N42" s="851" t="str">
        <f t="shared" si="4"/>
        <v xml:space="preserve"> </v>
      </c>
    </row>
    <row r="43" spans="3:14">
      <c r="C43" s="844" t="s">
        <v>840</v>
      </c>
      <c r="D43" s="1269"/>
      <c r="E43" s="855" t="s">
        <v>1530</v>
      </c>
      <c r="F43" s="1270"/>
      <c r="G43" s="855" t="s">
        <v>1550</v>
      </c>
      <c r="H43" s="848">
        <v>-338720856</v>
      </c>
      <c r="I43" s="846" t="s">
        <v>184</v>
      </c>
      <c r="J43" s="851" t="str">
        <f t="shared" si="0"/>
        <v xml:space="preserve"> </v>
      </c>
      <c r="K43" s="278" t="str">
        <f t="shared" si="5"/>
        <v xml:space="preserve"> </v>
      </c>
      <c r="L43" s="278">
        <f t="shared" si="2"/>
        <v>-338720856</v>
      </c>
      <c r="M43" s="851" t="str">
        <f t="shared" si="6"/>
        <v xml:space="preserve"> </v>
      </c>
      <c r="N43" s="851" t="str">
        <f t="shared" si="4"/>
        <v xml:space="preserve"> </v>
      </c>
    </row>
    <row r="44" spans="3:14">
      <c r="C44" s="844" t="s">
        <v>840</v>
      </c>
      <c r="D44" s="839"/>
      <c r="E44" s="855" t="s">
        <v>1530</v>
      </c>
      <c r="F44" s="1270"/>
      <c r="G44" s="855" t="s">
        <v>1551</v>
      </c>
      <c r="H44" s="848">
        <v>-68346029</v>
      </c>
      <c r="I44" s="846" t="s">
        <v>184</v>
      </c>
      <c r="J44" s="851" t="str">
        <f t="shared" si="0"/>
        <v xml:space="preserve"> </v>
      </c>
      <c r="K44" s="278" t="str">
        <f t="shared" si="5"/>
        <v xml:space="preserve"> </v>
      </c>
      <c r="L44" s="278">
        <f t="shared" si="2"/>
        <v>-68346029</v>
      </c>
      <c r="M44" s="851" t="str">
        <f t="shared" si="6"/>
        <v xml:space="preserve"> </v>
      </c>
      <c r="N44" s="851" t="str">
        <f t="shared" si="4"/>
        <v xml:space="preserve"> </v>
      </c>
    </row>
    <row r="45" spans="3:14">
      <c r="C45" s="844"/>
      <c r="D45" s="1269"/>
      <c r="E45" s="855"/>
      <c r="F45" s="1270"/>
      <c r="G45" s="855"/>
      <c r="H45" s="848"/>
      <c r="I45" s="846"/>
      <c r="J45" s="851" t="str">
        <f t="shared" si="0"/>
        <v xml:space="preserve"> </v>
      </c>
      <c r="K45" s="278" t="str">
        <f t="shared" si="5"/>
        <v xml:space="preserve"> </v>
      </c>
      <c r="L45" s="278" t="str">
        <f t="shared" si="2"/>
        <v xml:space="preserve"> </v>
      </c>
      <c r="M45" s="851" t="str">
        <f t="shared" si="6"/>
        <v xml:space="preserve"> </v>
      </c>
      <c r="N45" s="851" t="str">
        <f t="shared" si="4"/>
        <v xml:space="preserve"> </v>
      </c>
    </row>
    <row r="46" spans="3:14">
      <c r="C46" s="844"/>
      <c r="D46" s="1269"/>
      <c r="E46" s="855"/>
      <c r="F46" s="1270"/>
      <c r="G46" s="855"/>
      <c r="H46" s="848"/>
      <c r="I46" s="846"/>
      <c r="J46" s="851" t="str">
        <f t="shared" si="0"/>
        <v xml:space="preserve"> </v>
      </c>
      <c r="K46" s="278" t="str">
        <f t="shared" si="5"/>
        <v xml:space="preserve"> </v>
      </c>
      <c r="L46" s="278" t="str">
        <f t="shared" si="2"/>
        <v xml:space="preserve"> </v>
      </c>
      <c r="M46" s="851" t="str">
        <f t="shared" si="6"/>
        <v xml:space="preserve"> </v>
      </c>
      <c r="N46" s="851" t="str">
        <f t="shared" si="4"/>
        <v xml:space="preserve"> </v>
      </c>
    </row>
    <row r="47" spans="3:14">
      <c r="C47" s="844" t="s">
        <v>840</v>
      </c>
      <c r="D47" s="1269"/>
      <c r="E47" s="855"/>
      <c r="F47" s="1270"/>
      <c r="G47" s="855" t="s">
        <v>1471</v>
      </c>
      <c r="H47" s="848">
        <v>-1318502</v>
      </c>
      <c r="I47" s="846" t="s">
        <v>184</v>
      </c>
      <c r="J47" s="848">
        <v>13024</v>
      </c>
      <c r="K47" s="848">
        <f>+'[5]PSO WS C RB Tax'!G16</f>
        <v>0</v>
      </c>
      <c r="L47" s="848">
        <v>-1312864.5</v>
      </c>
      <c r="M47" s="848">
        <f>+'[5]PSO WS C RB Tax'!I16</f>
        <v>0</v>
      </c>
      <c r="N47" s="848">
        <v>-18661.8</v>
      </c>
    </row>
    <row r="48" spans="3:14">
      <c r="C48" s="40"/>
      <c r="D48" s="670"/>
      <c r="H48" s="278"/>
      <c r="I48" s="671"/>
      <c r="J48" s="851" t="str">
        <f>IF(I48="e",H48," ")</f>
        <v xml:space="preserve"> </v>
      </c>
      <c r="K48" s="278" t="str">
        <f>IF($I48="T",$H48," ")</f>
        <v xml:space="preserve"> </v>
      </c>
      <c r="L48" s="278" t="str">
        <f>IF($I48="PTD",$H48," ")</f>
        <v xml:space="preserve"> </v>
      </c>
      <c r="M48" s="864" t="str">
        <f>IF($I42="T&amp;D",$H48," ")</f>
        <v xml:space="preserve"> </v>
      </c>
      <c r="N48" s="851" t="str">
        <f>IF(I48="Labor",H48," ")</f>
        <v xml:space="preserve"> </v>
      </c>
    </row>
    <row r="49" spans="3:15">
      <c r="C49" s="706">
        <v>282.10000000000002</v>
      </c>
      <c r="D49" s="38"/>
      <c r="G49" s="194" t="s">
        <v>185</v>
      </c>
      <c r="H49" s="673">
        <f>SUM(H9:H48)</f>
        <v>-1012368993.5099999</v>
      </c>
      <c r="I49" s="278"/>
      <c r="J49" s="673">
        <f>SUM(J9:J48)</f>
        <v>7112746.1900000013</v>
      </c>
      <c r="K49" s="673">
        <f>SUM(K9:K48)</f>
        <v>0</v>
      </c>
      <c r="L49" s="673">
        <f>SUM(L9:L48)</f>
        <v>-1009337567.7699999</v>
      </c>
      <c r="M49" s="673">
        <f>SUM(M9:M48)</f>
        <v>0</v>
      </c>
      <c r="N49" s="673">
        <f>SUM(N9:N48)</f>
        <v>-10144172.23</v>
      </c>
      <c r="O49" s="674"/>
    </row>
    <row r="50" spans="3:15" ht="25.5">
      <c r="G50" s="1271" t="s">
        <v>198</v>
      </c>
      <c r="H50" s="867"/>
      <c r="I50" s="675"/>
      <c r="J50" s="278"/>
      <c r="K50" s="278"/>
      <c r="L50" s="278"/>
      <c r="M50" s="278"/>
      <c r="N50" s="278"/>
    </row>
    <row r="51" spans="3:15">
      <c r="H51" s="279"/>
      <c r="I51" s="278"/>
      <c r="J51" s="278"/>
      <c r="K51" s="278"/>
      <c r="L51" s="278"/>
      <c r="M51" s="278"/>
      <c r="N51" s="278"/>
    </row>
    <row r="52" spans="3:15">
      <c r="H52" s="279"/>
      <c r="I52" s="278"/>
      <c r="J52" s="278"/>
      <c r="K52" s="278"/>
      <c r="L52" s="278"/>
      <c r="M52" s="278"/>
      <c r="N52" s="278"/>
    </row>
    <row r="53" spans="3:15">
      <c r="C53" s="844" t="s">
        <v>870</v>
      </c>
      <c r="D53" s="1274" t="s">
        <v>375</v>
      </c>
      <c r="E53" s="855" t="s">
        <v>1328</v>
      </c>
      <c r="F53" s="1270"/>
      <c r="G53" s="855" t="s">
        <v>1329</v>
      </c>
      <c r="H53" s="1485">
        <v>-3571260.79</v>
      </c>
      <c r="I53" s="846" t="s">
        <v>328</v>
      </c>
      <c r="J53" s="851">
        <f>H53</f>
        <v>-3571260.79</v>
      </c>
      <c r="K53" s="278" t="str">
        <f t="shared" ref="K53:K87" si="7">IF($I53="T",$H53," ")</f>
        <v xml:space="preserve"> </v>
      </c>
      <c r="L53" s="278" t="str">
        <f t="shared" ref="L53:L87" si="8">IF($I53="PTD",$H53," ")</f>
        <v xml:space="preserve"> </v>
      </c>
      <c r="M53" s="851" t="str">
        <f t="shared" ref="M53:M87" si="9">IF($I53="T&amp;D",$H53," ")</f>
        <v xml:space="preserve"> </v>
      </c>
      <c r="N53" s="851" t="str">
        <f t="shared" ref="N53:N87" si="10">IF(I53="Labor",H53," ")</f>
        <v xml:space="preserve"> </v>
      </c>
    </row>
    <row r="54" spans="3:15">
      <c r="C54" s="844" t="s">
        <v>870</v>
      </c>
      <c r="D54" s="1274" t="s">
        <v>375</v>
      </c>
      <c r="E54" s="855" t="s">
        <v>1048</v>
      </c>
      <c r="F54" s="1270"/>
      <c r="G54" s="855" t="s">
        <v>871</v>
      </c>
      <c r="H54" s="1485">
        <v>-4396332.92</v>
      </c>
      <c r="I54" s="846" t="s">
        <v>328</v>
      </c>
      <c r="J54" s="851">
        <f t="shared" ref="J54:J87" si="11">IF(I54="e",H54," ")</f>
        <v>-4396332.92</v>
      </c>
      <c r="K54" s="278" t="str">
        <f t="shared" si="7"/>
        <v xml:space="preserve"> </v>
      </c>
      <c r="L54" s="278" t="str">
        <f t="shared" si="8"/>
        <v xml:space="preserve"> </v>
      </c>
      <c r="M54" s="851" t="str">
        <f t="shared" si="9"/>
        <v xml:space="preserve"> </v>
      </c>
      <c r="N54" s="851" t="str">
        <f t="shared" si="10"/>
        <v xml:space="preserve"> </v>
      </c>
    </row>
    <row r="55" spans="3:15">
      <c r="C55" s="1480" t="s">
        <v>870</v>
      </c>
      <c r="D55" s="1483"/>
      <c r="E55" s="1482" t="s">
        <v>1497</v>
      </c>
      <c r="F55" s="1481"/>
      <c r="G55" s="1482" t="s">
        <v>1498</v>
      </c>
      <c r="H55" s="1485">
        <v>0</v>
      </c>
      <c r="I55" s="1484" t="s">
        <v>328</v>
      </c>
      <c r="J55" s="851">
        <f t="shared" si="11"/>
        <v>0</v>
      </c>
      <c r="K55" s="278" t="str">
        <f t="shared" si="7"/>
        <v xml:space="preserve"> </v>
      </c>
      <c r="L55" s="278" t="str">
        <f t="shared" si="8"/>
        <v xml:space="preserve"> </v>
      </c>
      <c r="M55" s="851" t="str">
        <f t="shared" si="9"/>
        <v xml:space="preserve"> </v>
      </c>
      <c r="N55" s="851" t="str">
        <f t="shared" si="10"/>
        <v xml:space="preserve"> </v>
      </c>
    </row>
    <row r="56" spans="3:15">
      <c r="C56" s="844" t="s">
        <v>870</v>
      </c>
      <c r="D56" s="1274" t="s">
        <v>375</v>
      </c>
      <c r="E56" s="855" t="s">
        <v>915</v>
      </c>
      <c r="F56" s="1270"/>
      <c r="G56" s="855" t="s">
        <v>916</v>
      </c>
      <c r="H56" s="1485">
        <v>894.29</v>
      </c>
      <c r="I56" s="846" t="s">
        <v>328</v>
      </c>
      <c r="J56" s="851">
        <f t="shared" si="11"/>
        <v>894.29</v>
      </c>
      <c r="K56" s="278" t="str">
        <f t="shared" si="7"/>
        <v xml:space="preserve"> </v>
      </c>
      <c r="L56" s="278" t="str">
        <f t="shared" si="8"/>
        <v xml:space="preserve"> </v>
      </c>
      <c r="M56" s="851" t="str">
        <f t="shared" si="9"/>
        <v xml:space="preserve"> </v>
      </c>
      <c r="N56" s="851" t="str">
        <f t="shared" si="10"/>
        <v xml:space="preserve"> </v>
      </c>
    </row>
    <row r="57" spans="3:15">
      <c r="C57" s="844" t="s">
        <v>870</v>
      </c>
      <c r="D57" s="1274"/>
      <c r="E57" s="855" t="s">
        <v>1330</v>
      </c>
      <c r="F57" s="1270"/>
      <c r="G57" s="855" t="s">
        <v>1331</v>
      </c>
      <c r="H57" s="1485">
        <v>272241.76</v>
      </c>
      <c r="I57" s="846" t="s">
        <v>184</v>
      </c>
      <c r="J57" s="851" t="str">
        <f t="shared" si="11"/>
        <v xml:space="preserve"> </v>
      </c>
      <c r="K57" s="278" t="str">
        <f t="shared" si="7"/>
        <v xml:space="preserve"> </v>
      </c>
      <c r="L57" s="278">
        <f t="shared" si="8"/>
        <v>272241.76</v>
      </c>
      <c r="M57" s="851" t="str">
        <f t="shared" si="9"/>
        <v xml:space="preserve"> </v>
      </c>
      <c r="N57" s="851" t="str">
        <f t="shared" si="10"/>
        <v xml:space="preserve"> </v>
      </c>
    </row>
    <row r="58" spans="3:15">
      <c r="C58" s="844" t="s">
        <v>870</v>
      </c>
      <c r="D58" s="1274"/>
      <c r="E58" s="855" t="s">
        <v>1049</v>
      </c>
      <c r="F58" s="1270"/>
      <c r="G58" s="855" t="s">
        <v>872</v>
      </c>
      <c r="H58" s="1485">
        <v>130687.83</v>
      </c>
      <c r="I58" s="846" t="s">
        <v>328</v>
      </c>
      <c r="J58" s="851">
        <f t="shared" si="11"/>
        <v>130687.83</v>
      </c>
      <c r="K58" s="278" t="str">
        <f t="shared" si="7"/>
        <v xml:space="preserve"> </v>
      </c>
      <c r="L58" s="278" t="str">
        <f t="shared" si="8"/>
        <v xml:space="preserve"> </v>
      </c>
      <c r="M58" s="851" t="str">
        <f t="shared" si="9"/>
        <v xml:space="preserve"> </v>
      </c>
      <c r="N58" s="851" t="str">
        <f t="shared" si="10"/>
        <v xml:space="preserve"> </v>
      </c>
    </row>
    <row r="59" spans="3:15">
      <c r="C59" s="844" t="s">
        <v>870</v>
      </c>
      <c r="D59" s="1274" t="s">
        <v>375</v>
      </c>
      <c r="E59" s="855" t="s">
        <v>1050</v>
      </c>
      <c r="F59" s="1270"/>
      <c r="G59" s="855" t="s">
        <v>874</v>
      </c>
      <c r="H59" s="1485">
        <v>23748.06</v>
      </c>
      <c r="I59" s="846" t="s">
        <v>328</v>
      </c>
      <c r="J59" s="851">
        <f t="shared" si="11"/>
        <v>23748.06</v>
      </c>
      <c r="K59" s="278" t="str">
        <f t="shared" si="7"/>
        <v xml:space="preserve"> </v>
      </c>
      <c r="L59" s="278" t="str">
        <f t="shared" si="8"/>
        <v xml:space="preserve"> </v>
      </c>
      <c r="M59" s="851" t="str">
        <f t="shared" si="9"/>
        <v xml:space="preserve"> </v>
      </c>
      <c r="N59" s="851" t="str">
        <f t="shared" si="10"/>
        <v xml:space="preserve"> </v>
      </c>
    </row>
    <row r="60" spans="3:15">
      <c r="C60" s="844" t="s">
        <v>870</v>
      </c>
      <c r="D60" s="1274" t="s">
        <v>375</v>
      </c>
      <c r="E60" s="855" t="s">
        <v>1051</v>
      </c>
      <c r="F60" s="1270"/>
      <c r="G60" s="855" t="s">
        <v>875</v>
      </c>
      <c r="H60" s="1485">
        <v>-16843621.030000001</v>
      </c>
      <c r="I60" s="846" t="s">
        <v>337</v>
      </c>
      <c r="J60" s="851" t="str">
        <f t="shared" si="11"/>
        <v xml:space="preserve"> </v>
      </c>
      <c r="K60" s="278" t="str">
        <f t="shared" si="7"/>
        <v xml:space="preserve"> </v>
      </c>
      <c r="L60" s="278" t="str">
        <f t="shared" si="8"/>
        <v xml:space="preserve"> </v>
      </c>
      <c r="M60" s="851" t="str">
        <f t="shared" si="9"/>
        <v xml:space="preserve"> </v>
      </c>
      <c r="N60" s="851">
        <f t="shared" si="10"/>
        <v>-16843621.030000001</v>
      </c>
    </row>
    <row r="61" spans="3:15">
      <c r="C61" s="844" t="s">
        <v>870</v>
      </c>
      <c r="D61" s="1274" t="s">
        <v>375</v>
      </c>
      <c r="E61" s="855" t="s">
        <v>1052</v>
      </c>
      <c r="F61" s="1270"/>
      <c r="G61" s="855" t="s">
        <v>876</v>
      </c>
      <c r="H61" s="1485">
        <v>15604401.800000001</v>
      </c>
      <c r="I61" s="846" t="s">
        <v>328</v>
      </c>
      <c r="J61" s="851">
        <f t="shared" si="11"/>
        <v>15604401.800000001</v>
      </c>
      <c r="K61" s="278" t="str">
        <f t="shared" si="7"/>
        <v xml:space="preserve"> </v>
      </c>
      <c r="L61" s="278" t="str">
        <f t="shared" si="8"/>
        <v xml:space="preserve"> </v>
      </c>
      <c r="M61" s="851" t="str">
        <f t="shared" si="9"/>
        <v xml:space="preserve"> </v>
      </c>
      <c r="N61" s="851" t="str">
        <f t="shared" si="10"/>
        <v xml:space="preserve"> </v>
      </c>
    </row>
    <row r="62" spans="3:15">
      <c r="C62" s="844" t="s">
        <v>870</v>
      </c>
      <c r="D62" s="1274" t="s">
        <v>375</v>
      </c>
      <c r="E62" s="855" t="s">
        <v>1332</v>
      </c>
      <c r="F62" s="1270"/>
      <c r="G62" s="855" t="s">
        <v>1333</v>
      </c>
      <c r="H62" s="848">
        <v>0.01</v>
      </c>
      <c r="I62" s="846" t="s">
        <v>328</v>
      </c>
      <c r="J62" s="851">
        <f t="shared" si="11"/>
        <v>0.01</v>
      </c>
      <c r="K62" s="278" t="str">
        <f t="shared" si="7"/>
        <v xml:space="preserve"> </v>
      </c>
      <c r="L62" s="278" t="str">
        <f t="shared" si="8"/>
        <v xml:space="preserve"> </v>
      </c>
      <c r="M62" s="851" t="str">
        <f t="shared" si="9"/>
        <v xml:space="preserve"> </v>
      </c>
      <c r="N62" s="851" t="str">
        <f t="shared" si="10"/>
        <v xml:space="preserve"> </v>
      </c>
    </row>
    <row r="63" spans="3:15">
      <c r="C63" s="844" t="s">
        <v>870</v>
      </c>
      <c r="D63" s="1274" t="s">
        <v>375</v>
      </c>
      <c r="E63" s="855" t="s">
        <v>1053</v>
      </c>
      <c r="F63" s="1270"/>
      <c r="G63" s="855" t="s">
        <v>877</v>
      </c>
      <c r="H63" s="848">
        <v>-7539977.1900000004</v>
      </c>
      <c r="I63" s="846" t="s">
        <v>328</v>
      </c>
      <c r="J63" s="851">
        <f t="shared" si="11"/>
        <v>-7539977.1900000004</v>
      </c>
      <c r="K63" s="278" t="str">
        <f t="shared" si="7"/>
        <v xml:space="preserve"> </v>
      </c>
      <c r="L63" s="278" t="str">
        <f t="shared" si="8"/>
        <v xml:space="preserve"> </v>
      </c>
      <c r="M63" s="851" t="str">
        <f t="shared" si="9"/>
        <v xml:space="preserve"> </v>
      </c>
      <c r="N63" s="851" t="str">
        <f t="shared" si="10"/>
        <v xml:space="preserve"> </v>
      </c>
    </row>
    <row r="64" spans="3:15">
      <c r="C64" s="844" t="s">
        <v>870</v>
      </c>
      <c r="D64" s="1274" t="s">
        <v>375</v>
      </c>
      <c r="E64" s="855" t="s">
        <v>1054</v>
      </c>
      <c r="F64" s="1270"/>
      <c r="G64" s="855" t="s">
        <v>878</v>
      </c>
      <c r="H64" s="1485">
        <v>-62595.839999999997</v>
      </c>
      <c r="I64" s="846" t="s">
        <v>328</v>
      </c>
      <c r="J64" s="851">
        <f t="shared" si="11"/>
        <v>-62595.839999999997</v>
      </c>
      <c r="K64" s="278" t="str">
        <f t="shared" si="7"/>
        <v xml:space="preserve"> </v>
      </c>
      <c r="L64" s="278" t="str">
        <f t="shared" si="8"/>
        <v xml:space="preserve"> </v>
      </c>
      <c r="M64" s="851" t="str">
        <f t="shared" si="9"/>
        <v xml:space="preserve"> </v>
      </c>
      <c r="N64" s="851" t="str">
        <f t="shared" si="10"/>
        <v xml:space="preserve"> </v>
      </c>
    </row>
    <row r="65" spans="3:14">
      <c r="C65" s="844" t="s">
        <v>870</v>
      </c>
      <c r="D65" s="1274" t="s">
        <v>375</v>
      </c>
      <c r="E65" s="855" t="s">
        <v>1055</v>
      </c>
      <c r="F65" s="1270"/>
      <c r="G65" s="855" t="s">
        <v>879</v>
      </c>
      <c r="H65" s="1485">
        <v>-1565471.85</v>
      </c>
      <c r="I65" s="846" t="s">
        <v>328</v>
      </c>
      <c r="J65" s="851">
        <f t="shared" si="11"/>
        <v>-1565471.85</v>
      </c>
      <c r="K65" s="278" t="str">
        <f t="shared" si="7"/>
        <v xml:space="preserve"> </v>
      </c>
      <c r="L65" s="278" t="str">
        <f t="shared" si="8"/>
        <v xml:space="preserve"> </v>
      </c>
      <c r="M65" s="851" t="str">
        <f t="shared" si="9"/>
        <v xml:space="preserve"> </v>
      </c>
      <c r="N65" s="851" t="str">
        <f t="shared" si="10"/>
        <v xml:space="preserve"> </v>
      </c>
    </row>
    <row r="66" spans="3:14">
      <c r="C66" s="844" t="s">
        <v>870</v>
      </c>
      <c r="D66" s="1274" t="s">
        <v>375</v>
      </c>
      <c r="E66" s="855" t="s">
        <v>1056</v>
      </c>
      <c r="F66" s="1270"/>
      <c r="G66" s="855" t="s">
        <v>880</v>
      </c>
      <c r="H66" s="1485">
        <v>21447.85</v>
      </c>
      <c r="I66" s="846" t="s">
        <v>328</v>
      </c>
      <c r="J66" s="851">
        <f t="shared" si="11"/>
        <v>21447.85</v>
      </c>
      <c r="K66" s="278" t="str">
        <f t="shared" si="7"/>
        <v xml:space="preserve"> </v>
      </c>
      <c r="L66" s="278" t="str">
        <f t="shared" si="8"/>
        <v xml:space="preserve"> </v>
      </c>
      <c r="M66" s="851" t="str">
        <f t="shared" si="9"/>
        <v xml:space="preserve"> </v>
      </c>
      <c r="N66" s="851" t="str">
        <f t="shared" si="10"/>
        <v xml:space="preserve"> </v>
      </c>
    </row>
    <row r="67" spans="3:14">
      <c r="C67" s="844" t="s">
        <v>870</v>
      </c>
      <c r="D67" s="1274" t="s">
        <v>375</v>
      </c>
      <c r="E67" s="855" t="s">
        <v>1334</v>
      </c>
      <c r="F67" s="1270"/>
      <c r="G67" s="855" t="s">
        <v>1335</v>
      </c>
      <c r="H67" s="1485">
        <v>0.13</v>
      </c>
      <c r="I67" s="846" t="s">
        <v>328</v>
      </c>
      <c r="J67" s="851">
        <f t="shared" si="11"/>
        <v>0.13</v>
      </c>
      <c r="K67" s="278" t="str">
        <f t="shared" si="7"/>
        <v xml:space="preserve"> </v>
      </c>
      <c r="L67" s="278" t="str">
        <f t="shared" si="8"/>
        <v xml:space="preserve"> </v>
      </c>
      <c r="M67" s="851" t="str">
        <f t="shared" si="9"/>
        <v xml:space="preserve"> </v>
      </c>
      <c r="N67" s="851" t="str">
        <f t="shared" si="10"/>
        <v xml:space="preserve"> </v>
      </c>
    </row>
    <row r="68" spans="3:14">
      <c r="C68" s="844" t="s">
        <v>870</v>
      </c>
      <c r="D68" s="1274" t="s">
        <v>375</v>
      </c>
      <c r="E68" s="855" t="s">
        <v>1336</v>
      </c>
      <c r="F68" s="1270"/>
      <c r="G68" s="855" t="s">
        <v>1337</v>
      </c>
      <c r="H68" s="1485">
        <v>-0.11</v>
      </c>
      <c r="I68" s="846" t="s">
        <v>328</v>
      </c>
      <c r="J68" s="851">
        <f t="shared" si="11"/>
        <v>-0.11</v>
      </c>
      <c r="K68" s="278" t="str">
        <f t="shared" si="7"/>
        <v xml:space="preserve"> </v>
      </c>
      <c r="L68" s="278" t="str">
        <f t="shared" si="8"/>
        <v xml:space="preserve"> </v>
      </c>
      <c r="M68" s="851" t="str">
        <f t="shared" si="9"/>
        <v xml:space="preserve"> </v>
      </c>
      <c r="N68" s="851" t="str">
        <f t="shared" si="10"/>
        <v xml:space="preserve"> </v>
      </c>
    </row>
    <row r="69" spans="3:14">
      <c r="C69" s="844" t="s">
        <v>870</v>
      </c>
      <c r="D69" s="1274" t="s">
        <v>375</v>
      </c>
      <c r="E69" s="855" t="s">
        <v>1338</v>
      </c>
      <c r="F69" s="1270"/>
      <c r="G69" s="855" t="s">
        <v>1339</v>
      </c>
      <c r="H69" s="1485">
        <v>0.21</v>
      </c>
      <c r="I69" s="846" t="s">
        <v>328</v>
      </c>
      <c r="J69" s="851">
        <f t="shared" si="11"/>
        <v>0.21</v>
      </c>
      <c r="K69" s="278" t="str">
        <f t="shared" si="7"/>
        <v xml:space="preserve"> </v>
      </c>
      <c r="L69" s="278" t="str">
        <f t="shared" si="8"/>
        <v xml:space="preserve"> </v>
      </c>
      <c r="M69" s="851" t="str">
        <f t="shared" si="9"/>
        <v xml:space="preserve"> </v>
      </c>
      <c r="N69" s="851" t="str">
        <f t="shared" si="10"/>
        <v xml:space="preserve"> </v>
      </c>
    </row>
    <row r="70" spans="3:14">
      <c r="C70" s="844" t="s">
        <v>870</v>
      </c>
      <c r="D70" s="1274" t="s">
        <v>375</v>
      </c>
      <c r="E70" s="855" t="s">
        <v>1057</v>
      </c>
      <c r="F70" s="1270"/>
      <c r="G70" s="855" t="s">
        <v>883</v>
      </c>
      <c r="H70" s="1485">
        <v>-15604401.800000001</v>
      </c>
      <c r="I70" s="846" t="s">
        <v>328</v>
      </c>
      <c r="J70" s="851">
        <f t="shared" si="11"/>
        <v>-15604401.800000001</v>
      </c>
      <c r="K70" s="278" t="str">
        <f t="shared" si="7"/>
        <v xml:space="preserve"> </v>
      </c>
      <c r="L70" s="278" t="str">
        <f t="shared" si="8"/>
        <v xml:space="preserve"> </v>
      </c>
      <c r="M70" s="851" t="str">
        <f t="shared" si="9"/>
        <v xml:space="preserve"> </v>
      </c>
      <c r="N70" s="851" t="str">
        <f t="shared" si="10"/>
        <v xml:space="preserve"> </v>
      </c>
    </row>
    <row r="71" spans="3:14">
      <c r="C71" s="844" t="s">
        <v>870</v>
      </c>
      <c r="D71" s="1274" t="s">
        <v>375</v>
      </c>
      <c r="E71" s="855" t="s">
        <v>1058</v>
      </c>
      <c r="F71" s="1270"/>
      <c r="G71" s="855" t="s">
        <v>884</v>
      </c>
      <c r="H71" s="1485">
        <v>-242682.45</v>
      </c>
      <c r="I71" s="846" t="s">
        <v>328</v>
      </c>
      <c r="J71" s="851">
        <f t="shared" si="11"/>
        <v>-242682.45</v>
      </c>
      <c r="K71" s="278" t="str">
        <f t="shared" si="7"/>
        <v xml:space="preserve"> </v>
      </c>
      <c r="L71" s="278" t="str">
        <f t="shared" si="8"/>
        <v xml:space="preserve"> </v>
      </c>
      <c r="M71" s="851" t="str">
        <f t="shared" si="9"/>
        <v xml:space="preserve"> </v>
      </c>
      <c r="N71" s="851" t="str">
        <f t="shared" si="10"/>
        <v xml:space="preserve"> </v>
      </c>
    </row>
    <row r="72" spans="3:14">
      <c r="C72" s="844" t="s">
        <v>870</v>
      </c>
      <c r="D72" s="1274" t="s">
        <v>375</v>
      </c>
      <c r="E72" s="855" t="s">
        <v>1059</v>
      </c>
      <c r="F72" s="1270"/>
      <c r="G72" s="855" t="s">
        <v>885</v>
      </c>
      <c r="H72" s="1485">
        <v>692450.71</v>
      </c>
      <c r="I72" s="846" t="s">
        <v>328</v>
      </c>
      <c r="J72" s="851">
        <f t="shared" si="11"/>
        <v>692450.71</v>
      </c>
      <c r="K72" s="278" t="str">
        <f t="shared" si="7"/>
        <v xml:space="preserve"> </v>
      </c>
      <c r="L72" s="278" t="str">
        <f t="shared" si="8"/>
        <v xml:space="preserve"> </v>
      </c>
      <c r="M72" s="851" t="str">
        <f t="shared" si="9"/>
        <v xml:space="preserve"> </v>
      </c>
      <c r="N72" s="851" t="str">
        <f t="shared" si="10"/>
        <v xml:space="preserve"> </v>
      </c>
    </row>
    <row r="73" spans="3:14">
      <c r="C73" s="1480" t="s">
        <v>870</v>
      </c>
      <c r="D73" s="1486"/>
      <c r="E73" s="1482" t="s">
        <v>1499</v>
      </c>
      <c r="F73" s="1481"/>
      <c r="G73" s="1482" t="s">
        <v>1500</v>
      </c>
      <c r="H73" s="1485">
        <v>0</v>
      </c>
      <c r="I73" s="846" t="s">
        <v>328</v>
      </c>
      <c r="J73" s="851">
        <f t="shared" si="11"/>
        <v>0</v>
      </c>
      <c r="K73" s="278" t="str">
        <f t="shared" si="7"/>
        <v xml:space="preserve"> </v>
      </c>
      <c r="L73" s="278" t="str">
        <f t="shared" si="8"/>
        <v xml:space="preserve"> </v>
      </c>
      <c r="M73" s="851" t="str">
        <f t="shared" si="9"/>
        <v xml:space="preserve"> </v>
      </c>
      <c r="N73" s="851" t="str">
        <f t="shared" si="10"/>
        <v xml:space="preserve"> </v>
      </c>
    </row>
    <row r="74" spans="3:14">
      <c r="C74" s="844" t="s">
        <v>870</v>
      </c>
      <c r="D74" s="1274" t="s">
        <v>375</v>
      </c>
      <c r="E74" s="855" t="s">
        <v>1340</v>
      </c>
      <c r="F74" s="1270"/>
      <c r="G74" s="855" t="s">
        <v>1341</v>
      </c>
      <c r="H74" s="1485">
        <v>-881701.69</v>
      </c>
      <c r="I74" s="846" t="s">
        <v>328</v>
      </c>
      <c r="J74" s="851">
        <f t="shared" si="11"/>
        <v>-881701.69</v>
      </c>
      <c r="K74" s="278" t="str">
        <f t="shared" si="7"/>
        <v xml:space="preserve"> </v>
      </c>
      <c r="L74" s="278" t="str">
        <f t="shared" si="8"/>
        <v xml:space="preserve"> </v>
      </c>
      <c r="M74" s="851" t="str">
        <f t="shared" si="9"/>
        <v xml:space="preserve"> </v>
      </c>
      <c r="N74" s="851" t="str">
        <f t="shared" si="10"/>
        <v xml:space="preserve"> </v>
      </c>
    </row>
    <row r="75" spans="3:14">
      <c r="C75" s="844" t="s">
        <v>870</v>
      </c>
      <c r="D75" s="1274" t="s">
        <v>375</v>
      </c>
      <c r="E75" s="855" t="s">
        <v>1342</v>
      </c>
      <c r="F75" s="1270"/>
      <c r="G75" s="855" t="s">
        <v>1343</v>
      </c>
      <c r="H75" s="1485">
        <v>0</v>
      </c>
      <c r="I75" s="846" t="s">
        <v>328</v>
      </c>
      <c r="J75" s="851">
        <f t="shared" si="11"/>
        <v>0</v>
      </c>
      <c r="K75" s="278" t="str">
        <f t="shared" si="7"/>
        <v xml:space="preserve"> </v>
      </c>
      <c r="L75" s="278" t="str">
        <f t="shared" si="8"/>
        <v xml:space="preserve"> </v>
      </c>
      <c r="M75" s="851" t="str">
        <f t="shared" si="9"/>
        <v xml:space="preserve"> </v>
      </c>
      <c r="N75" s="851" t="str">
        <f t="shared" si="10"/>
        <v xml:space="preserve"> </v>
      </c>
    </row>
    <row r="76" spans="3:14">
      <c r="C76" s="844" t="s">
        <v>870</v>
      </c>
      <c r="D76" s="1274" t="s">
        <v>375</v>
      </c>
      <c r="E76" s="855" t="s">
        <v>1344</v>
      </c>
      <c r="F76" s="1270"/>
      <c r="G76" s="855" t="s">
        <v>1345</v>
      </c>
      <c r="H76" s="1485">
        <v>-13967511.15</v>
      </c>
      <c r="I76" s="846" t="s">
        <v>328</v>
      </c>
      <c r="J76" s="851">
        <f t="shared" si="11"/>
        <v>-13967511.15</v>
      </c>
      <c r="K76" s="278" t="str">
        <f t="shared" si="7"/>
        <v xml:space="preserve"> </v>
      </c>
      <c r="L76" s="278" t="str">
        <f t="shared" si="8"/>
        <v xml:space="preserve"> </v>
      </c>
      <c r="M76" s="851" t="str">
        <f t="shared" si="9"/>
        <v xml:space="preserve"> </v>
      </c>
      <c r="N76" s="851" t="str">
        <f t="shared" si="10"/>
        <v xml:space="preserve"> </v>
      </c>
    </row>
    <row r="77" spans="3:14">
      <c r="C77" s="844" t="s">
        <v>870</v>
      </c>
      <c r="D77" s="1274" t="s">
        <v>375</v>
      </c>
      <c r="E77" s="855" t="s">
        <v>1346</v>
      </c>
      <c r="F77" s="1270"/>
      <c r="G77" s="855" t="s">
        <v>1347</v>
      </c>
      <c r="H77" s="1485">
        <v>6559566.7599999998</v>
      </c>
      <c r="I77" s="846" t="s">
        <v>328</v>
      </c>
      <c r="J77" s="851">
        <f t="shared" si="11"/>
        <v>6559566.7599999998</v>
      </c>
      <c r="K77" s="278" t="str">
        <f t="shared" si="7"/>
        <v xml:space="preserve"> </v>
      </c>
      <c r="L77" s="278" t="str">
        <f t="shared" si="8"/>
        <v xml:space="preserve"> </v>
      </c>
      <c r="M77" s="851" t="str">
        <f t="shared" si="9"/>
        <v xml:space="preserve"> </v>
      </c>
      <c r="N77" s="851" t="str">
        <f t="shared" si="10"/>
        <v xml:space="preserve"> </v>
      </c>
    </row>
    <row r="78" spans="3:14">
      <c r="C78" s="844" t="s">
        <v>870</v>
      </c>
      <c r="D78" s="1274" t="s">
        <v>375</v>
      </c>
      <c r="E78" s="855" t="s">
        <v>1348</v>
      </c>
      <c r="F78" s="1270"/>
      <c r="G78" s="855" t="s">
        <v>1349</v>
      </c>
      <c r="H78" s="1485">
        <v>-514207.28</v>
      </c>
      <c r="I78" s="846" t="s">
        <v>328</v>
      </c>
      <c r="J78" s="851">
        <f t="shared" si="11"/>
        <v>-514207.28</v>
      </c>
      <c r="K78" s="278" t="str">
        <f t="shared" si="7"/>
        <v xml:space="preserve"> </v>
      </c>
      <c r="L78" s="278" t="str">
        <f t="shared" si="8"/>
        <v xml:space="preserve"> </v>
      </c>
      <c r="M78" s="851" t="str">
        <f t="shared" si="9"/>
        <v xml:space="preserve"> </v>
      </c>
      <c r="N78" s="851" t="str">
        <f t="shared" si="10"/>
        <v xml:space="preserve"> </v>
      </c>
    </row>
    <row r="79" spans="3:14">
      <c r="C79" s="844" t="s">
        <v>870</v>
      </c>
      <c r="D79" s="1274" t="s">
        <v>375</v>
      </c>
      <c r="E79" s="855" t="s">
        <v>1350</v>
      </c>
      <c r="F79" s="1270"/>
      <c r="G79" s="855" t="s">
        <v>1351</v>
      </c>
      <c r="H79" s="1485">
        <v>0</v>
      </c>
      <c r="I79" s="846" t="s">
        <v>328</v>
      </c>
      <c r="J79" s="851">
        <f t="shared" si="11"/>
        <v>0</v>
      </c>
      <c r="K79" s="278" t="str">
        <f t="shared" si="7"/>
        <v xml:space="preserve"> </v>
      </c>
      <c r="L79" s="278" t="str">
        <f t="shared" si="8"/>
        <v xml:space="preserve"> </v>
      </c>
      <c r="M79" s="851" t="str">
        <f t="shared" si="9"/>
        <v xml:space="preserve"> </v>
      </c>
      <c r="N79" s="851" t="str">
        <f t="shared" si="10"/>
        <v xml:space="preserve"> </v>
      </c>
    </row>
    <row r="80" spans="3:14">
      <c r="C80" s="844" t="s">
        <v>870</v>
      </c>
      <c r="D80" s="1274" t="s">
        <v>375</v>
      </c>
      <c r="E80" s="855" t="s">
        <v>1352</v>
      </c>
      <c r="F80" s="1270"/>
      <c r="G80" s="855" t="s">
        <v>1353</v>
      </c>
      <c r="H80" s="1485">
        <v>-9481963</v>
      </c>
      <c r="I80" s="846" t="s">
        <v>328</v>
      </c>
      <c r="J80" s="851">
        <f t="shared" si="11"/>
        <v>-9481963</v>
      </c>
      <c r="K80" s="278" t="str">
        <f t="shared" si="7"/>
        <v xml:space="preserve"> </v>
      </c>
      <c r="L80" s="278" t="str">
        <f t="shared" si="8"/>
        <v xml:space="preserve"> </v>
      </c>
      <c r="M80" s="851" t="str">
        <f t="shared" si="9"/>
        <v xml:space="preserve"> </v>
      </c>
      <c r="N80" s="851" t="str">
        <f t="shared" si="10"/>
        <v xml:space="preserve"> </v>
      </c>
    </row>
    <row r="81" spans="1:14">
      <c r="C81" s="844" t="s">
        <v>870</v>
      </c>
      <c r="D81" s="1274" t="s">
        <v>375</v>
      </c>
      <c r="E81" s="855" t="s">
        <v>1354</v>
      </c>
      <c r="F81" s="1270"/>
      <c r="G81" s="855" t="s">
        <v>1355</v>
      </c>
      <c r="H81" s="1485">
        <v>3284346.33</v>
      </c>
      <c r="I81" s="846" t="s">
        <v>328</v>
      </c>
      <c r="J81" s="851">
        <f t="shared" si="11"/>
        <v>3284346.33</v>
      </c>
      <c r="K81" s="278" t="str">
        <f t="shared" si="7"/>
        <v xml:space="preserve"> </v>
      </c>
      <c r="L81" s="278" t="str">
        <f t="shared" si="8"/>
        <v xml:space="preserve"> </v>
      </c>
      <c r="M81" s="851" t="str">
        <f t="shared" si="9"/>
        <v xml:space="preserve"> </v>
      </c>
      <c r="N81" s="851" t="str">
        <f t="shared" si="10"/>
        <v xml:space="preserve"> </v>
      </c>
    </row>
    <row r="82" spans="1:14">
      <c r="C82" s="1480" t="s">
        <v>870</v>
      </c>
      <c r="D82" s="1487"/>
      <c r="E82" s="1482" t="s">
        <v>1501</v>
      </c>
      <c r="F82" s="1481"/>
      <c r="G82" s="1482" t="s">
        <v>1502</v>
      </c>
      <c r="H82" s="1485">
        <v>0</v>
      </c>
      <c r="I82" s="846" t="s">
        <v>328</v>
      </c>
      <c r="J82" s="851">
        <f t="shared" si="11"/>
        <v>0</v>
      </c>
      <c r="K82" s="278" t="str">
        <f t="shared" si="7"/>
        <v xml:space="preserve"> </v>
      </c>
      <c r="L82" s="278" t="str">
        <f t="shared" si="8"/>
        <v xml:space="preserve"> </v>
      </c>
      <c r="M82" s="851" t="str">
        <f t="shared" si="9"/>
        <v xml:space="preserve"> </v>
      </c>
      <c r="N82" s="851" t="str">
        <f t="shared" si="10"/>
        <v xml:space="preserve"> </v>
      </c>
    </row>
    <row r="83" spans="1:14">
      <c r="C83" s="1480" t="s">
        <v>870</v>
      </c>
      <c r="D83" s="1487"/>
      <c r="E83" s="1482" t="s">
        <v>1503</v>
      </c>
      <c r="F83" s="1481"/>
      <c r="G83" s="1482" t="s">
        <v>1504</v>
      </c>
      <c r="H83" s="1485">
        <v>-93950.85</v>
      </c>
      <c r="I83" s="846" t="s">
        <v>328</v>
      </c>
      <c r="J83" s="851">
        <f t="shared" si="11"/>
        <v>-93950.85</v>
      </c>
      <c r="K83" s="278" t="str">
        <f t="shared" si="7"/>
        <v xml:space="preserve"> </v>
      </c>
      <c r="L83" s="278" t="str">
        <f t="shared" si="8"/>
        <v xml:space="preserve"> </v>
      </c>
      <c r="M83" s="851" t="str">
        <f t="shared" si="9"/>
        <v xml:space="preserve"> </v>
      </c>
      <c r="N83" s="851" t="str">
        <f t="shared" si="10"/>
        <v xml:space="preserve"> </v>
      </c>
    </row>
    <row r="84" spans="1:14">
      <c r="A84" s="1506"/>
      <c r="B84" s="1506"/>
      <c r="C84" s="1480" t="s">
        <v>870</v>
      </c>
      <c r="D84" s="1487"/>
      <c r="E84" s="1482" t="s">
        <v>1532</v>
      </c>
      <c r="F84" s="1481"/>
      <c r="G84" s="1482" t="s">
        <v>1548</v>
      </c>
      <c r="H84" s="1485">
        <v>-16447162.460000001</v>
      </c>
      <c r="I84" s="846" t="s">
        <v>328</v>
      </c>
      <c r="J84" s="851">
        <f t="shared" si="11"/>
        <v>-16447162.460000001</v>
      </c>
      <c r="K84" s="278" t="str">
        <f t="shared" si="7"/>
        <v xml:space="preserve"> </v>
      </c>
      <c r="L84" s="278" t="str">
        <f t="shared" si="8"/>
        <v xml:space="preserve"> </v>
      </c>
      <c r="M84" s="851" t="str">
        <f t="shared" si="9"/>
        <v xml:space="preserve"> </v>
      </c>
      <c r="N84" s="851" t="str">
        <f t="shared" si="10"/>
        <v xml:space="preserve"> </v>
      </c>
    </row>
    <row r="85" spans="1:14">
      <c r="A85" s="1506"/>
      <c r="B85" s="1506"/>
      <c r="C85" s="1480" t="s">
        <v>870</v>
      </c>
      <c r="D85" s="1487"/>
      <c r="E85" s="1482" t="s">
        <v>1531</v>
      </c>
      <c r="F85" s="1481"/>
      <c r="G85" s="1482" t="s">
        <v>1516</v>
      </c>
      <c r="H85" s="1485">
        <v>2895.83</v>
      </c>
      <c r="I85" s="846" t="s">
        <v>328</v>
      </c>
      <c r="J85" s="851">
        <f t="shared" si="11"/>
        <v>2895.83</v>
      </c>
      <c r="K85" s="278" t="str">
        <f t="shared" si="7"/>
        <v xml:space="preserve"> </v>
      </c>
      <c r="L85" s="278" t="str">
        <f t="shared" si="8"/>
        <v xml:space="preserve"> </v>
      </c>
      <c r="M85" s="851" t="str">
        <f t="shared" si="9"/>
        <v xml:space="preserve"> </v>
      </c>
      <c r="N85" s="851" t="str">
        <f t="shared" si="10"/>
        <v xml:space="preserve"> </v>
      </c>
    </row>
    <row r="86" spans="1:14">
      <c r="C86" s="844" t="s">
        <v>870</v>
      </c>
      <c r="D86" s="1274" t="s">
        <v>375</v>
      </c>
      <c r="E86" s="855" t="s">
        <v>1060</v>
      </c>
      <c r="F86" s="1270"/>
      <c r="G86" s="855" t="s">
        <v>899</v>
      </c>
      <c r="H86" s="1485">
        <v>-936041.88</v>
      </c>
      <c r="I86" s="846" t="s">
        <v>184</v>
      </c>
      <c r="J86" s="851" t="str">
        <f t="shared" si="11"/>
        <v xml:space="preserve"> </v>
      </c>
      <c r="K86" s="278" t="str">
        <f t="shared" si="7"/>
        <v xml:space="preserve"> </v>
      </c>
      <c r="L86" s="278">
        <f t="shared" si="8"/>
        <v>-936041.88</v>
      </c>
      <c r="M86" s="851" t="str">
        <f t="shared" si="9"/>
        <v xml:space="preserve"> </v>
      </c>
      <c r="N86" s="851" t="str">
        <f t="shared" si="10"/>
        <v xml:space="preserve"> </v>
      </c>
    </row>
    <row r="87" spans="1:14">
      <c r="C87" s="844" t="s">
        <v>870</v>
      </c>
      <c r="D87" s="1274" t="s">
        <v>375</v>
      </c>
      <c r="E87" s="855" t="s">
        <v>1061</v>
      </c>
      <c r="F87" s="1270"/>
      <c r="G87" s="855" t="s">
        <v>901</v>
      </c>
      <c r="H87" s="1485">
        <v>-4587562.91</v>
      </c>
      <c r="I87" s="846" t="s">
        <v>328</v>
      </c>
      <c r="J87" s="851">
        <f t="shared" si="11"/>
        <v>-4587562.91</v>
      </c>
      <c r="K87" s="278" t="str">
        <f t="shared" si="7"/>
        <v xml:space="preserve"> </v>
      </c>
      <c r="L87" s="278" t="str">
        <f t="shared" si="8"/>
        <v xml:space="preserve"> </v>
      </c>
      <c r="M87" s="851" t="str">
        <f t="shared" si="9"/>
        <v xml:space="preserve"> </v>
      </c>
      <c r="N87" s="851" t="str">
        <f t="shared" si="10"/>
        <v xml:space="preserve"> </v>
      </c>
    </row>
    <row r="88" spans="1:14">
      <c r="C88" s="844" t="s">
        <v>870</v>
      </c>
      <c r="D88" s="1274" t="s">
        <v>375</v>
      </c>
      <c r="E88" s="855" t="s">
        <v>1062</v>
      </c>
      <c r="F88" s="1270"/>
      <c r="G88" s="855" t="s">
        <v>902</v>
      </c>
      <c r="H88" s="1485">
        <v>3075789.99</v>
      </c>
      <c r="I88" s="846" t="s">
        <v>328</v>
      </c>
      <c r="J88" s="851">
        <f t="shared" ref="J88:J95" si="12">IF(I88="e",H88," ")</f>
        <v>3075789.99</v>
      </c>
      <c r="K88" s="278" t="str">
        <f t="shared" ref="K88:K95" si="13">IF($I88="T",$H88," ")</f>
        <v xml:space="preserve"> </v>
      </c>
      <c r="L88" s="278" t="str">
        <f t="shared" ref="L88:L95" si="14">IF($I88="PTD",$H88," ")</f>
        <v xml:space="preserve"> </v>
      </c>
      <c r="M88" s="851" t="str">
        <f t="shared" ref="M88:M95" si="15">IF($I88="T&amp;D",$H88," ")</f>
        <v xml:space="preserve"> </v>
      </c>
      <c r="N88" s="851" t="str">
        <f t="shared" ref="N88:N95" si="16">IF(I88="Labor",H88," ")</f>
        <v xml:space="preserve"> </v>
      </c>
    </row>
    <row r="89" spans="1:14">
      <c r="C89" s="844" t="s">
        <v>870</v>
      </c>
      <c r="D89" s="1274"/>
      <c r="E89" s="855" t="s">
        <v>1063</v>
      </c>
      <c r="F89" s="1270"/>
      <c r="G89" s="855" t="s">
        <v>904</v>
      </c>
      <c r="H89" s="1485">
        <v>-643013.46</v>
      </c>
      <c r="I89" s="846" t="s">
        <v>328</v>
      </c>
      <c r="J89" s="851">
        <f t="shared" si="12"/>
        <v>-643013.46</v>
      </c>
      <c r="K89" s="278" t="str">
        <f t="shared" si="13"/>
        <v xml:space="preserve"> </v>
      </c>
      <c r="L89" s="278" t="str">
        <f t="shared" si="14"/>
        <v xml:space="preserve"> </v>
      </c>
      <c r="M89" s="851" t="str">
        <f t="shared" si="15"/>
        <v xml:space="preserve"> </v>
      </c>
      <c r="N89" s="851" t="str">
        <f t="shared" si="16"/>
        <v xml:space="preserve"> </v>
      </c>
    </row>
    <row r="90" spans="1:14">
      <c r="C90" s="844" t="s">
        <v>870</v>
      </c>
      <c r="D90" s="1274" t="s">
        <v>375</v>
      </c>
      <c r="E90" s="855" t="s">
        <v>1064</v>
      </c>
      <c r="F90" s="1270"/>
      <c r="G90" s="855" t="s">
        <v>905</v>
      </c>
      <c r="H90" s="1485">
        <v>0.04</v>
      </c>
      <c r="I90" s="846" t="s">
        <v>328</v>
      </c>
      <c r="J90" s="851">
        <f t="shared" si="12"/>
        <v>0.04</v>
      </c>
      <c r="K90" s="278" t="str">
        <f t="shared" si="13"/>
        <v xml:space="preserve"> </v>
      </c>
      <c r="L90" s="278" t="str">
        <f t="shared" si="14"/>
        <v xml:space="preserve"> </v>
      </c>
      <c r="M90" s="851" t="str">
        <f t="shared" si="15"/>
        <v xml:space="preserve"> </v>
      </c>
      <c r="N90" s="851" t="str">
        <f t="shared" si="16"/>
        <v xml:space="preserve"> </v>
      </c>
    </row>
    <row r="91" spans="1:14">
      <c r="C91" s="844" t="s">
        <v>870</v>
      </c>
      <c r="D91" s="1487"/>
      <c r="E91" s="1482" t="s">
        <v>1530</v>
      </c>
      <c r="F91" s="1481"/>
      <c r="G91" s="1482" t="s">
        <v>1549</v>
      </c>
      <c r="H91" s="1485">
        <v>-3158434</v>
      </c>
      <c r="I91" s="846" t="s">
        <v>328</v>
      </c>
      <c r="J91" s="851">
        <f t="shared" si="12"/>
        <v>-3158434</v>
      </c>
      <c r="K91" s="278" t="str">
        <f t="shared" si="13"/>
        <v xml:space="preserve"> </v>
      </c>
      <c r="L91" s="278" t="str">
        <f t="shared" si="14"/>
        <v xml:space="preserve"> </v>
      </c>
      <c r="M91" s="851" t="str">
        <f t="shared" si="15"/>
        <v xml:space="preserve"> </v>
      </c>
      <c r="N91" s="851" t="str">
        <f t="shared" si="16"/>
        <v xml:space="preserve"> </v>
      </c>
    </row>
    <row r="92" spans="1:14">
      <c r="C92" s="844" t="s">
        <v>870</v>
      </c>
      <c r="D92" s="1487"/>
      <c r="E92" s="1482" t="s">
        <v>1356</v>
      </c>
      <c r="F92" s="1481"/>
      <c r="G92" s="1482" t="s">
        <v>1357</v>
      </c>
      <c r="H92" s="1485">
        <v>-1257375</v>
      </c>
      <c r="I92" s="846" t="s">
        <v>328</v>
      </c>
      <c r="J92" s="851">
        <f t="shared" si="12"/>
        <v>-1257375</v>
      </c>
      <c r="K92" s="278" t="str">
        <f t="shared" si="13"/>
        <v xml:space="preserve"> </v>
      </c>
      <c r="L92" s="278" t="str">
        <f t="shared" si="14"/>
        <v xml:space="preserve"> </v>
      </c>
      <c r="M92" s="851" t="str">
        <f t="shared" si="15"/>
        <v xml:space="preserve"> </v>
      </c>
      <c r="N92" s="851" t="str">
        <f t="shared" si="16"/>
        <v xml:space="preserve"> </v>
      </c>
    </row>
    <row r="93" spans="1:14">
      <c r="C93" s="844" t="s">
        <v>870</v>
      </c>
      <c r="D93" s="1487"/>
      <c r="E93" s="1482"/>
      <c r="F93" s="1481"/>
      <c r="G93" s="1482" t="s">
        <v>1619</v>
      </c>
      <c r="H93" s="1485">
        <v>-1027081</v>
      </c>
      <c r="I93" s="846" t="s">
        <v>328</v>
      </c>
      <c r="J93" s="851">
        <f>IF(I93="e",H93," ")</f>
        <v>-1027081</v>
      </c>
      <c r="K93" s="278" t="str">
        <f t="shared" si="13"/>
        <v xml:space="preserve"> </v>
      </c>
      <c r="L93" s="278" t="str">
        <f t="shared" si="14"/>
        <v xml:space="preserve"> </v>
      </c>
      <c r="M93" s="851" t="str">
        <f t="shared" si="15"/>
        <v xml:space="preserve"> </v>
      </c>
      <c r="N93" s="851" t="str">
        <f>IF(I93="Labor",H93," ")</f>
        <v xml:space="preserve"> </v>
      </c>
    </row>
    <row r="94" spans="1:14">
      <c r="C94" s="845"/>
      <c r="D94" s="1275"/>
      <c r="E94" s="1270"/>
      <c r="F94" s="865"/>
      <c r="G94" s="1270"/>
      <c r="H94" s="858"/>
      <c r="I94" s="1273"/>
      <c r="J94" s="851" t="str">
        <f t="shared" si="12"/>
        <v xml:space="preserve"> </v>
      </c>
      <c r="K94" s="278" t="str">
        <f t="shared" si="13"/>
        <v xml:space="preserve"> </v>
      </c>
      <c r="L94" s="278" t="str">
        <f t="shared" si="14"/>
        <v xml:space="preserve"> </v>
      </c>
      <c r="M94" s="851" t="str">
        <f t="shared" si="15"/>
        <v xml:space="preserve"> </v>
      </c>
      <c r="N94" s="851" t="str">
        <f t="shared" si="16"/>
        <v xml:space="preserve"> </v>
      </c>
    </row>
    <row r="95" spans="1:14">
      <c r="C95" s="866">
        <v>2831002</v>
      </c>
      <c r="D95" s="865" t="s">
        <v>375</v>
      </c>
      <c r="E95" s="855" t="s">
        <v>1065</v>
      </c>
      <c r="F95" s="1270"/>
      <c r="G95" s="855" t="s">
        <v>995</v>
      </c>
      <c r="H95" s="1485">
        <v>-171017751.13999999</v>
      </c>
      <c r="I95" s="846" t="s">
        <v>184</v>
      </c>
      <c r="J95" s="851" t="str">
        <f t="shared" si="12"/>
        <v xml:space="preserve"> </v>
      </c>
      <c r="K95" s="278" t="str">
        <f t="shared" si="13"/>
        <v xml:space="preserve"> </v>
      </c>
      <c r="L95" s="278">
        <f t="shared" si="14"/>
        <v>-171017751.13999999</v>
      </c>
      <c r="M95" s="851" t="str">
        <f t="shared" si="15"/>
        <v xml:space="preserve"> </v>
      </c>
      <c r="N95" s="851" t="str">
        <f t="shared" si="16"/>
        <v xml:space="preserve"> </v>
      </c>
    </row>
    <row r="96" spans="1:14">
      <c r="C96" s="844"/>
      <c r="D96" s="1272"/>
      <c r="E96" s="855"/>
      <c r="F96"/>
      <c r="G96" s="855"/>
      <c r="H96" s="848"/>
      <c r="I96" s="846"/>
      <c r="J96" s="851" t="str">
        <f>IF(I96="e",H96," ")</f>
        <v xml:space="preserve"> </v>
      </c>
      <c r="K96" s="278" t="str">
        <f>IF($I96="T",$H96," ")</f>
        <v xml:space="preserve"> </v>
      </c>
      <c r="L96" s="278" t="str">
        <f>IF($I96="PTD",$H96," ")</f>
        <v xml:space="preserve"> </v>
      </c>
      <c r="M96" s="851" t="str">
        <f>IF($I96="T&amp;D",$H96," ")</f>
        <v xml:space="preserve"> </v>
      </c>
      <c r="N96" s="851" t="str">
        <f>IF(I96="Labor",H96," ")</f>
        <v xml:space="preserve"> </v>
      </c>
    </row>
    <row r="97" spans="3:15">
      <c r="C97" s="844"/>
      <c r="D97" s="1272"/>
      <c r="E97" s="855"/>
      <c r="F97"/>
      <c r="G97" s="855" t="s">
        <v>1470</v>
      </c>
      <c r="H97" s="848">
        <v>0</v>
      </c>
      <c r="I97" s="846"/>
      <c r="J97" s="848">
        <v>0</v>
      </c>
      <c r="K97" s="848"/>
      <c r="L97" s="848">
        <v>0</v>
      </c>
      <c r="M97" s="848"/>
      <c r="N97" s="848">
        <v>0</v>
      </c>
    </row>
    <row r="98" spans="3:15">
      <c r="D98" s="38"/>
      <c r="H98" s="278"/>
      <c r="I98" s="278"/>
      <c r="J98" s="279" t="str">
        <f>IF(I98="e",H98," ")</f>
        <v xml:space="preserve"> </v>
      </c>
      <c r="K98" s="279"/>
      <c r="L98" s="279" t="str">
        <f>IF($I98="PTD",$H98," ")</f>
        <v xml:space="preserve"> </v>
      </c>
      <c r="M98" s="279" t="str">
        <f>IF($I98="T&amp;D",$H98," ")</f>
        <v xml:space="preserve"> </v>
      </c>
      <c r="N98" s="279" t="str">
        <f>IF(I98="Labor",H98," ")</f>
        <v xml:space="preserve"> </v>
      </c>
    </row>
    <row r="99" spans="3:15">
      <c r="C99" s="706">
        <v>283.10000000000002</v>
      </c>
      <c r="D99" s="38"/>
      <c r="G99" s="194" t="s">
        <v>185</v>
      </c>
      <c r="H99" s="677">
        <f>SUM(H53:H98)</f>
        <v>-244171628.19999999</v>
      </c>
      <c r="I99" s="278"/>
      <c r="J99" s="673">
        <f>SUM(J53:J98)</f>
        <v>-55646455.910000004</v>
      </c>
      <c r="K99" s="673">
        <f>SUM(K53:K98)</f>
        <v>0</v>
      </c>
      <c r="L99" s="673">
        <f>SUM(L53:L98)</f>
        <v>-171681551.25999999</v>
      </c>
      <c r="M99" s="673">
        <f>SUM(M53:M98)</f>
        <v>0</v>
      </c>
      <c r="N99" s="673">
        <f>SUM(N53:N98)</f>
        <v>-16843621.030000001</v>
      </c>
      <c r="O99" s="674"/>
    </row>
    <row r="100" spans="3:15" ht="25.5">
      <c r="C100" s="672"/>
      <c r="D100" s="38"/>
      <c r="G100" s="1271" t="s">
        <v>130</v>
      </c>
      <c r="H100" s="867"/>
      <c r="I100" s="675"/>
      <c r="J100" s="678"/>
      <c r="K100" s="678"/>
      <c r="L100" s="678"/>
      <c r="M100" s="678"/>
      <c r="N100" s="678"/>
    </row>
    <row r="101" spans="3:15">
      <c r="C101" s="672"/>
      <c r="D101" s="38"/>
      <c r="G101" s="729"/>
      <c r="H101" s="279"/>
      <c r="I101" s="675"/>
      <c r="J101" s="678"/>
      <c r="K101" s="678"/>
      <c r="L101" s="678"/>
      <c r="M101" s="678"/>
      <c r="N101" s="678"/>
    </row>
    <row r="102" spans="3:15">
      <c r="G102" s="268"/>
      <c r="H102" s="279"/>
      <c r="I102" s="278"/>
      <c r="J102" s="278"/>
      <c r="K102" s="278"/>
      <c r="L102" s="278"/>
      <c r="M102" s="278"/>
      <c r="N102" s="278"/>
    </row>
    <row r="103" spans="3:15">
      <c r="H103" s="279"/>
      <c r="I103" s="278"/>
      <c r="J103" s="278"/>
      <c r="K103" s="278"/>
      <c r="L103" s="278"/>
      <c r="M103" s="278"/>
      <c r="N103" s="278"/>
    </row>
    <row r="104" spans="3:15">
      <c r="C104" s="844" t="s">
        <v>909</v>
      </c>
      <c r="D104" s="1277" t="s">
        <v>375</v>
      </c>
      <c r="E104" s="855" t="s">
        <v>910</v>
      </c>
      <c r="F104" s="1270"/>
      <c r="G104" s="855" t="s">
        <v>911</v>
      </c>
      <c r="H104" s="1485">
        <v>-659755</v>
      </c>
      <c r="I104" s="846" t="s">
        <v>328</v>
      </c>
      <c r="J104" s="851">
        <f t="shared" ref="J104:J135" si="17">IF(I104="e",H104," ")</f>
        <v>-659755</v>
      </c>
      <c r="K104" s="278" t="str">
        <f t="shared" ref="K104:K146" si="18">IF($I104="T",$H104," ")</f>
        <v xml:space="preserve"> </v>
      </c>
      <c r="L104" s="278" t="str">
        <f t="shared" ref="L104:L147" si="19">IF($I104="PTD",$H104," ")</f>
        <v xml:space="preserve"> </v>
      </c>
      <c r="M104" s="851" t="str">
        <f t="shared" ref="M104:M146" si="20">IF($I104="T&amp;D",$H104," ")</f>
        <v xml:space="preserve"> </v>
      </c>
      <c r="N104" s="851" t="str">
        <f t="shared" ref="N104:N146" si="21">IF(I104="Labor",H104," ")</f>
        <v xml:space="preserve"> </v>
      </c>
    </row>
    <row r="105" spans="3:15">
      <c r="C105" s="844" t="s">
        <v>909</v>
      </c>
      <c r="D105" s="1277" t="s">
        <v>375</v>
      </c>
      <c r="E105" s="855" t="s">
        <v>1066</v>
      </c>
      <c r="F105" s="1270"/>
      <c r="G105" s="855" t="s">
        <v>912</v>
      </c>
      <c r="H105" s="1485">
        <v>659755</v>
      </c>
      <c r="I105" s="846" t="s">
        <v>328</v>
      </c>
      <c r="J105" s="851">
        <f t="shared" si="17"/>
        <v>659755</v>
      </c>
      <c r="K105" s="278" t="str">
        <f t="shared" si="18"/>
        <v xml:space="preserve"> </v>
      </c>
      <c r="L105" s="278" t="str">
        <f t="shared" si="19"/>
        <v xml:space="preserve"> </v>
      </c>
      <c r="M105" s="851" t="str">
        <f t="shared" si="20"/>
        <v xml:space="preserve"> </v>
      </c>
      <c r="N105" s="851" t="str">
        <f t="shared" si="21"/>
        <v xml:space="preserve"> </v>
      </c>
    </row>
    <row r="106" spans="3:15">
      <c r="C106" s="844" t="s">
        <v>909</v>
      </c>
      <c r="D106" s="1277" t="s">
        <v>375</v>
      </c>
      <c r="E106" s="855" t="s">
        <v>1328</v>
      </c>
      <c r="F106" s="1270"/>
      <c r="G106" s="855" t="s">
        <v>1358</v>
      </c>
      <c r="H106" s="1485">
        <v>4502585.66</v>
      </c>
      <c r="I106" s="846" t="s">
        <v>328</v>
      </c>
      <c r="J106" s="851">
        <f t="shared" si="17"/>
        <v>4502585.66</v>
      </c>
      <c r="K106" s="278" t="str">
        <f t="shared" si="18"/>
        <v xml:space="preserve"> </v>
      </c>
      <c r="L106" s="278" t="str">
        <f t="shared" si="19"/>
        <v xml:space="preserve"> </v>
      </c>
      <c r="M106" s="851" t="str">
        <f t="shared" si="20"/>
        <v xml:space="preserve"> </v>
      </c>
      <c r="N106" s="851" t="str">
        <f t="shared" si="21"/>
        <v xml:space="preserve"> </v>
      </c>
    </row>
    <row r="107" spans="3:15">
      <c r="C107" s="844" t="s">
        <v>909</v>
      </c>
      <c r="D107" s="1277" t="s">
        <v>375</v>
      </c>
      <c r="E107" s="855" t="s">
        <v>1359</v>
      </c>
      <c r="F107" s="1270"/>
      <c r="G107" s="855" t="s">
        <v>1360</v>
      </c>
      <c r="H107" s="1485">
        <v>133485.53</v>
      </c>
      <c r="I107" s="846" t="s">
        <v>328</v>
      </c>
      <c r="J107" s="851">
        <f t="shared" si="17"/>
        <v>133485.53</v>
      </c>
      <c r="K107" s="278" t="str">
        <f t="shared" si="18"/>
        <v xml:space="preserve"> </v>
      </c>
      <c r="L107" s="278" t="str">
        <f t="shared" si="19"/>
        <v xml:space="preserve"> </v>
      </c>
      <c r="M107" s="851" t="str">
        <f t="shared" si="20"/>
        <v xml:space="preserve"> </v>
      </c>
      <c r="N107" s="851" t="str">
        <f t="shared" si="21"/>
        <v xml:space="preserve"> </v>
      </c>
    </row>
    <row r="108" spans="3:15">
      <c r="C108" s="844" t="s">
        <v>909</v>
      </c>
      <c r="D108" s="1277" t="s">
        <v>375</v>
      </c>
      <c r="E108" s="855" t="s">
        <v>921</v>
      </c>
      <c r="F108" s="1270"/>
      <c r="G108" s="855" t="s">
        <v>922</v>
      </c>
      <c r="H108" s="1485">
        <v>3689031.62</v>
      </c>
      <c r="I108" s="846" t="s">
        <v>328</v>
      </c>
      <c r="J108" s="851">
        <f t="shared" si="17"/>
        <v>3689031.62</v>
      </c>
      <c r="K108" s="278" t="str">
        <f t="shared" si="18"/>
        <v xml:space="preserve"> </v>
      </c>
      <c r="L108" s="278" t="str">
        <f t="shared" si="19"/>
        <v xml:space="preserve"> </v>
      </c>
      <c r="M108" s="851" t="str">
        <f t="shared" si="20"/>
        <v xml:space="preserve"> </v>
      </c>
      <c r="N108" s="851" t="str">
        <f t="shared" si="21"/>
        <v xml:space="preserve"> </v>
      </c>
    </row>
    <row r="109" spans="3:15">
      <c r="C109" s="844" t="s">
        <v>909</v>
      </c>
      <c r="D109" s="1277" t="s">
        <v>375</v>
      </c>
      <c r="E109" s="855" t="s">
        <v>923</v>
      </c>
      <c r="F109" s="1270"/>
      <c r="G109" s="855" t="s">
        <v>924</v>
      </c>
      <c r="H109" s="1485">
        <v>2064394.77</v>
      </c>
      <c r="I109" s="846" t="s">
        <v>184</v>
      </c>
      <c r="J109" s="851" t="str">
        <f t="shared" si="17"/>
        <v xml:space="preserve"> </v>
      </c>
      <c r="K109" s="278" t="str">
        <f t="shared" si="18"/>
        <v xml:space="preserve"> </v>
      </c>
      <c r="L109" s="278">
        <f t="shared" si="19"/>
        <v>2064394.77</v>
      </c>
      <c r="M109" s="851" t="str">
        <f t="shared" si="20"/>
        <v xml:space="preserve"> </v>
      </c>
      <c r="N109" s="851" t="str">
        <f t="shared" si="21"/>
        <v xml:space="preserve"> </v>
      </c>
    </row>
    <row r="110" spans="3:15">
      <c r="C110" s="844" t="s">
        <v>909</v>
      </c>
      <c r="D110" s="1277"/>
      <c r="E110" s="855" t="s">
        <v>1542</v>
      </c>
      <c r="F110" s="1270"/>
      <c r="G110" s="855" t="s">
        <v>1546</v>
      </c>
      <c r="H110" s="1485">
        <v>987944.53</v>
      </c>
      <c r="I110" s="846" t="s">
        <v>328</v>
      </c>
      <c r="J110" s="851">
        <f t="shared" si="17"/>
        <v>987944.53</v>
      </c>
      <c r="K110" s="278" t="str">
        <f t="shared" si="18"/>
        <v xml:space="preserve"> </v>
      </c>
      <c r="L110" s="278" t="str">
        <f t="shared" si="19"/>
        <v xml:space="preserve"> </v>
      </c>
      <c r="M110" s="851" t="str">
        <f t="shared" si="20"/>
        <v xml:space="preserve"> </v>
      </c>
      <c r="N110" s="851" t="str">
        <f t="shared" si="21"/>
        <v xml:space="preserve"> </v>
      </c>
    </row>
    <row r="111" spans="3:15">
      <c r="C111" s="844" t="s">
        <v>909</v>
      </c>
      <c r="D111" s="1277"/>
      <c r="E111" s="855" t="s">
        <v>1543</v>
      </c>
      <c r="F111" s="1270"/>
      <c r="G111" s="855" t="s">
        <v>1547</v>
      </c>
      <c r="H111" s="1485">
        <v>980579.63</v>
      </c>
      <c r="I111" s="846" t="s">
        <v>328</v>
      </c>
      <c r="J111" s="851">
        <f t="shared" si="17"/>
        <v>980579.63</v>
      </c>
      <c r="K111" s="278" t="str">
        <f t="shared" si="18"/>
        <v xml:space="preserve"> </v>
      </c>
      <c r="L111" s="278" t="str">
        <f t="shared" si="19"/>
        <v xml:space="preserve"> </v>
      </c>
      <c r="M111" s="851" t="str">
        <f t="shared" si="20"/>
        <v xml:space="preserve"> </v>
      </c>
      <c r="N111" s="851" t="str">
        <f t="shared" si="21"/>
        <v xml:space="preserve"> </v>
      </c>
    </row>
    <row r="112" spans="3:15">
      <c r="C112" s="844" t="s">
        <v>909</v>
      </c>
      <c r="D112" s="1277" t="s">
        <v>375</v>
      </c>
      <c r="E112" s="855" t="s">
        <v>925</v>
      </c>
      <c r="F112" s="1270"/>
      <c r="G112" s="855" t="s">
        <v>926</v>
      </c>
      <c r="H112" s="1485">
        <v>-31612.35</v>
      </c>
      <c r="I112" s="846" t="s">
        <v>328</v>
      </c>
      <c r="J112" s="851">
        <f t="shared" si="17"/>
        <v>-31612.35</v>
      </c>
      <c r="K112" s="278" t="str">
        <f t="shared" si="18"/>
        <v xml:space="preserve"> </v>
      </c>
      <c r="L112" s="278" t="str">
        <f t="shared" si="19"/>
        <v xml:space="preserve"> </v>
      </c>
      <c r="M112" s="851" t="str">
        <f t="shared" si="20"/>
        <v xml:space="preserve"> </v>
      </c>
      <c r="N112" s="851" t="str">
        <f t="shared" si="21"/>
        <v xml:space="preserve"> </v>
      </c>
    </row>
    <row r="113" spans="3:14">
      <c r="C113" s="844" t="s">
        <v>909</v>
      </c>
      <c r="D113" s="1277" t="s">
        <v>375</v>
      </c>
      <c r="E113" s="855" t="s">
        <v>927</v>
      </c>
      <c r="F113" s="1270"/>
      <c r="G113" s="855" t="s">
        <v>928</v>
      </c>
      <c r="H113" s="1485">
        <v>146764.72</v>
      </c>
      <c r="I113" s="846" t="s">
        <v>337</v>
      </c>
      <c r="J113" s="851" t="str">
        <f t="shared" si="17"/>
        <v xml:space="preserve"> </v>
      </c>
      <c r="K113" s="278" t="str">
        <f t="shared" si="18"/>
        <v xml:space="preserve"> </v>
      </c>
      <c r="L113" s="278" t="str">
        <f t="shared" si="19"/>
        <v xml:space="preserve"> </v>
      </c>
      <c r="M113" s="851" t="str">
        <f t="shared" si="20"/>
        <v xml:space="preserve"> </v>
      </c>
      <c r="N113" s="851">
        <f t="shared" si="21"/>
        <v>146764.72</v>
      </c>
    </row>
    <row r="114" spans="3:14">
      <c r="C114" s="844" t="s">
        <v>909</v>
      </c>
      <c r="D114" s="1277" t="s">
        <v>375</v>
      </c>
      <c r="E114" s="855" t="s">
        <v>929</v>
      </c>
      <c r="F114" s="1270"/>
      <c r="G114" s="855" t="s">
        <v>930</v>
      </c>
      <c r="H114" s="1485">
        <v>330469.87</v>
      </c>
      <c r="I114" s="846" t="s">
        <v>337</v>
      </c>
      <c r="J114" s="851" t="str">
        <f t="shared" si="17"/>
        <v xml:space="preserve"> </v>
      </c>
      <c r="K114" s="278" t="str">
        <f t="shared" si="18"/>
        <v xml:space="preserve"> </v>
      </c>
      <c r="L114" s="278" t="str">
        <f t="shared" si="19"/>
        <v xml:space="preserve"> </v>
      </c>
      <c r="M114" s="851" t="str">
        <f t="shared" si="20"/>
        <v xml:space="preserve"> </v>
      </c>
      <c r="N114" s="851">
        <f t="shared" si="21"/>
        <v>330469.87</v>
      </c>
    </row>
    <row r="115" spans="3:14">
      <c r="C115" s="844" t="s">
        <v>909</v>
      </c>
      <c r="D115" s="1277" t="s">
        <v>375</v>
      </c>
      <c r="E115" s="855" t="s">
        <v>931</v>
      </c>
      <c r="F115" s="1270"/>
      <c r="G115" s="855" t="s">
        <v>932</v>
      </c>
      <c r="H115" s="1485">
        <v>242682.45</v>
      </c>
      <c r="I115" s="846" t="s">
        <v>328</v>
      </c>
      <c r="J115" s="851">
        <f t="shared" si="17"/>
        <v>242682.45</v>
      </c>
      <c r="K115" s="278" t="str">
        <f t="shared" si="18"/>
        <v xml:space="preserve"> </v>
      </c>
      <c r="L115" s="278" t="str">
        <f t="shared" si="19"/>
        <v xml:space="preserve"> </v>
      </c>
      <c r="M115" s="851" t="str">
        <f t="shared" si="20"/>
        <v xml:space="preserve"> </v>
      </c>
      <c r="N115" s="851" t="str">
        <f t="shared" si="21"/>
        <v xml:space="preserve"> </v>
      </c>
    </row>
    <row r="116" spans="3:14">
      <c r="C116" s="844" t="s">
        <v>909</v>
      </c>
      <c r="D116" s="1277" t="s">
        <v>375</v>
      </c>
      <c r="E116" s="855" t="s">
        <v>933</v>
      </c>
      <c r="F116" s="1270"/>
      <c r="G116" s="855" t="s">
        <v>934</v>
      </c>
      <c r="H116" s="1485">
        <v>128059.41</v>
      </c>
      <c r="I116" s="846" t="s">
        <v>337</v>
      </c>
      <c r="J116" s="851" t="str">
        <f t="shared" si="17"/>
        <v xml:space="preserve"> </v>
      </c>
      <c r="K116" s="278" t="str">
        <f t="shared" si="18"/>
        <v xml:space="preserve"> </v>
      </c>
      <c r="L116" s="278" t="str">
        <f t="shared" si="19"/>
        <v xml:space="preserve"> </v>
      </c>
      <c r="M116" s="851" t="str">
        <f t="shared" si="20"/>
        <v xml:space="preserve"> </v>
      </c>
      <c r="N116" s="851">
        <f t="shared" si="21"/>
        <v>128059.41</v>
      </c>
    </row>
    <row r="117" spans="3:14">
      <c r="C117" s="844" t="s">
        <v>909</v>
      </c>
      <c r="D117" s="1277" t="s">
        <v>375</v>
      </c>
      <c r="E117" s="855" t="s">
        <v>935</v>
      </c>
      <c r="F117" s="1270"/>
      <c r="G117" s="855" t="s">
        <v>936</v>
      </c>
      <c r="H117" s="1485">
        <v>0.08</v>
      </c>
      <c r="I117" s="846" t="s">
        <v>328</v>
      </c>
      <c r="J117" s="851">
        <f t="shared" si="17"/>
        <v>0.08</v>
      </c>
      <c r="K117" s="278" t="str">
        <f t="shared" si="18"/>
        <v xml:space="preserve"> </v>
      </c>
      <c r="L117" s="278" t="str">
        <f t="shared" si="19"/>
        <v xml:space="preserve"> </v>
      </c>
      <c r="M117" s="851" t="str">
        <f t="shared" si="20"/>
        <v xml:space="preserve"> </v>
      </c>
      <c r="N117" s="851" t="str">
        <f t="shared" si="21"/>
        <v xml:space="preserve"> </v>
      </c>
    </row>
    <row r="118" spans="3:14">
      <c r="C118" s="844" t="s">
        <v>909</v>
      </c>
      <c r="D118" s="1277" t="s">
        <v>375</v>
      </c>
      <c r="E118" s="855" t="s">
        <v>939</v>
      </c>
      <c r="F118" s="1270"/>
      <c r="G118" s="855" t="s">
        <v>940</v>
      </c>
      <c r="H118" s="1485">
        <v>198657.06</v>
      </c>
      <c r="I118" s="846" t="s">
        <v>337</v>
      </c>
      <c r="J118" s="851" t="str">
        <f t="shared" si="17"/>
        <v xml:space="preserve"> </v>
      </c>
      <c r="K118" s="278" t="str">
        <f t="shared" si="18"/>
        <v xml:space="preserve"> </v>
      </c>
      <c r="L118" s="278" t="str">
        <f t="shared" si="19"/>
        <v xml:space="preserve"> </v>
      </c>
      <c r="M118" s="851" t="str">
        <f t="shared" si="20"/>
        <v xml:space="preserve"> </v>
      </c>
      <c r="N118" s="851">
        <f t="shared" si="21"/>
        <v>198657.06</v>
      </c>
    </row>
    <row r="119" spans="3:14">
      <c r="C119" s="1480" t="s">
        <v>909</v>
      </c>
      <c r="D119" s="1488"/>
      <c r="E119" s="1482" t="s">
        <v>1505</v>
      </c>
      <c r="F119" s="1481"/>
      <c r="G119" s="1482" t="s">
        <v>1506</v>
      </c>
      <c r="H119" s="1485">
        <v>394590.11</v>
      </c>
      <c r="I119" s="846" t="s">
        <v>328</v>
      </c>
      <c r="J119" s="851">
        <f t="shared" si="17"/>
        <v>394590.11</v>
      </c>
      <c r="K119" s="278" t="str">
        <f t="shared" si="18"/>
        <v xml:space="preserve"> </v>
      </c>
      <c r="L119" s="278" t="str">
        <f t="shared" si="19"/>
        <v xml:space="preserve"> </v>
      </c>
      <c r="M119" s="851" t="str">
        <f t="shared" si="20"/>
        <v xml:space="preserve"> </v>
      </c>
      <c r="N119" s="851" t="str">
        <f t="shared" si="21"/>
        <v xml:space="preserve"> </v>
      </c>
    </row>
    <row r="120" spans="3:14">
      <c r="C120" s="844" t="s">
        <v>909</v>
      </c>
      <c r="D120" s="1277" t="s">
        <v>375</v>
      </c>
      <c r="E120" s="855" t="s">
        <v>941</v>
      </c>
      <c r="F120" s="1270"/>
      <c r="G120" s="855" t="s">
        <v>942</v>
      </c>
      <c r="H120" s="1485">
        <v>33583.089999999997</v>
      </c>
      <c r="I120" s="846" t="s">
        <v>328</v>
      </c>
      <c r="J120" s="851">
        <f t="shared" si="17"/>
        <v>33583.089999999997</v>
      </c>
      <c r="K120" s="278" t="str">
        <f t="shared" si="18"/>
        <v xml:space="preserve"> </v>
      </c>
      <c r="L120" s="278" t="str">
        <f t="shared" si="19"/>
        <v xml:space="preserve"> </v>
      </c>
      <c r="M120" s="851" t="str">
        <f t="shared" si="20"/>
        <v xml:space="preserve"> </v>
      </c>
      <c r="N120" s="851" t="str">
        <f t="shared" si="21"/>
        <v xml:space="preserve"> </v>
      </c>
    </row>
    <row r="121" spans="3:14">
      <c r="C121" s="844" t="s">
        <v>909</v>
      </c>
      <c r="D121" s="1277" t="s">
        <v>375</v>
      </c>
      <c r="E121" s="855" t="s">
        <v>943</v>
      </c>
      <c r="F121" s="1270"/>
      <c r="G121" s="855" t="s">
        <v>944</v>
      </c>
      <c r="H121" s="848"/>
      <c r="I121" s="846" t="s">
        <v>328</v>
      </c>
      <c r="J121" s="851">
        <f t="shared" si="17"/>
        <v>0</v>
      </c>
      <c r="K121" s="278" t="str">
        <f t="shared" si="18"/>
        <v xml:space="preserve"> </v>
      </c>
      <c r="L121" s="278" t="str">
        <f t="shared" si="19"/>
        <v xml:space="preserve"> </v>
      </c>
      <c r="M121" s="851" t="str">
        <f t="shared" si="20"/>
        <v xml:space="preserve"> </v>
      </c>
      <c r="N121" s="851" t="str">
        <f t="shared" si="21"/>
        <v xml:space="preserve"> </v>
      </c>
    </row>
    <row r="122" spans="3:14">
      <c r="C122" s="844" t="s">
        <v>909</v>
      </c>
      <c r="D122" s="1277" t="s">
        <v>375</v>
      </c>
      <c r="E122" s="855" t="s">
        <v>951</v>
      </c>
      <c r="F122" s="1270"/>
      <c r="G122" s="855" t="s">
        <v>952</v>
      </c>
      <c r="H122" s="1485">
        <v>1298897.73</v>
      </c>
      <c r="I122" s="846" t="s">
        <v>337</v>
      </c>
      <c r="J122" s="851" t="str">
        <f t="shared" si="17"/>
        <v xml:space="preserve"> </v>
      </c>
      <c r="K122" s="278" t="str">
        <f t="shared" si="18"/>
        <v xml:space="preserve"> </v>
      </c>
      <c r="L122" s="278" t="str">
        <f t="shared" si="19"/>
        <v xml:space="preserve"> </v>
      </c>
      <c r="M122" s="851" t="str">
        <f t="shared" si="20"/>
        <v xml:space="preserve"> </v>
      </c>
      <c r="N122" s="851">
        <f t="shared" si="21"/>
        <v>1298897.73</v>
      </c>
    </row>
    <row r="123" spans="3:14">
      <c r="C123" s="844" t="s">
        <v>909</v>
      </c>
      <c r="D123" s="1277" t="s">
        <v>375</v>
      </c>
      <c r="E123" s="855" t="s">
        <v>955</v>
      </c>
      <c r="F123" s="1270"/>
      <c r="G123" s="855" t="s">
        <v>956</v>
      </c>
      <c r="H123" s="1485">
        <v>1619992.48</v>
      </c>
      <c r="I123" s="846" t="s">
        <v>337</v>
      </c>
      <c r="J123" s="851" t="str">
        <f t="shared" si="17"/>
        <v xml:space="preserve"> </v>
      </c>
      <c r="K123" s="278" t="str">
        <f t="shared" si="18"/>
        <v xml:space="preserve"> </v>
      </c>
      <c r="L123" s="278" t="str">
        <f t="shared" si="19"/>
        <v xml:space="preserve"> </v>
      </c>
      <c r="M123" s="851" t="str">
        <f t="shared" si="20"/>
        <v xml:space="preserve"> </v>
      </c>
      <c r="N123" s="851">
        <f t="shared" si="21"/>
        <v>1619992.48</v>
      </c>
    </row>
    <row r="124" spans="3:14">
      <c r="C124" s="844" t="s">
        <v>909</v>
      </c>
      <c r="D124" s="1277" t="s">
        <v>375</v>
      </c>
      <c r="E124" s="855" t="s">
        <v>959</v>
      </c>
      <c r="F124" s="1270"/>
      <c r="G124" s="855" t="s">
        <v>960</v>
      </c>
      <c r="H124" s="1485">
        <v>148220.19</v>
      </c>
      <c r="I124" s="846" t="s">
        <v>337</v>
      </c>
      <c r="J124" s="851" t="str">
        <f t="shared" si="17"/>
        <v xml:space="preserve"> </v>
      </c>
      <c r="K124" s="278" t="str">
        <f t="shared" si="18"/>
        <v xml:space="preserve"> </v>
      </c>
      <c r="L124" s="278" t="str">
        <f t="shared" si="19"/>
        <v xml:space="preserve"> </v>
      </c>
      <c r="M124" s="851" t="str">
        <f t="shared" si="20"/>
        <v xml:space="preserve"> </v>
      </c>
      <c r="N124" s="851">
        <f t="shared" si="21"/>
        <v>148220.19</v>
      </c>
    </row>
    <row r="125" spans="3:14">
      <c r="C125" s="844" t="s">
        <v>909</v>
      </c>
      <c r="D125" s="1277" t="s">
        <v>375</v>
      </c>
      <c r="E125" s="855" t="s">
        <v>1361</v>
      </c>
      <c r="F125" s="1270"/>
      <c r="G125" s="855" t="s">
        <v>1362</v>
      </c>
      <c r="H125" s="1485">
        <v>61108.03</v>
      </c>
      <c r="I125" s="846" t="s">
        <v>337</v>
      </c>
      <c r="J125" s="851" t="str">
        <f t="shared" si="17"/>
        <v xml:space="preserve"> </v>
      </c>
      <c r="K125" s="278" t="str">
        <f t="shared" si="18"/>
        <v xml:space="preserve"> </v>
      </c>
      <c r="L125" s="278" t="str">
        <f t="shared" si="19"/>
        <v xml:space="preserve"> </v>
      </c>
      <c r="M125" s="851" t="str">
        <f t="shared" si="20"/>
        <v xml:space="preserve"> </v>
      </c>
      <c r="N125" s="851">
        <f t="shared" si="21"/>
        <v>61108.03</v>
      </c>
    </row>
    <row r="126" spans="3:14">
      <c r="C126" s="844" t="s">
        <v>909</v>
      </c>
      <c r="D126" s="1277" t="s">
        <v>375</v>
      </c>
      <c r="E126" s="855" t="s">
        <v>963</v>
      </c>
      <c r="F126" s="1270"/>
      <c r="G126" s="855" t="s">
        <v>964</v>
      </c>
      <c r="H126" s="1485">
        <v>-716494.83</v>
      </c>
      <c r="I126" s="846" t="s">
        <v>328</v>
      </c>
      <c r="J126" s="851">
        <f t="shared" si="17"/>
        <v>-716494.83</v>
      </c>
      <c r="K126" s="278" t="str">
        <f t="shared" si="18"/>
        <v xml:space="preserve"> </v>
      </c>
      <c r="L126" s="278" t="str">
        <f t="shared" si="19"/>
        <v xml:space="preserve"> </v>
      </c>
      <c r="M126" s="851" t="str">
        <f t="shared" si="20"/>
        <v xml:space="preserve"> </v>
      </c>
      <c r="N126" s="851" t="str">
        <f t="shared" si="21"/>
        <v xml:space="preserve"> </v>
      </c>
    </row>
    <row r="127" spans="3:14">
      <c r="C127" s="844" t="s">
        <v>909</v>
      </c>
      <c r="D127" s="1277" t="s">
        <v>375</v>
      </c>
      <c r="E127" s="855" t="s">
        <v>1067</v>
      </c>
      <c r="F127" s="1270"/>
      <c r="G127" s="855" t="s">
        <v>965</v>
      </c>
      <c r="H127" s="1485">
        <v>605419.80000000005</v>
      </c>
      <c r="I127" s="846" t="s">
        <v>328</v>
      </c>
      <c r="J127" s="851">
        <f t="shared" si="17"/>
        <v>605419.80000000005</v>
      </c>
      <c r="K127" s="278" t="str">
        <f t="shared" si="18"/>
        <v xml:space="preserve"> </v>
      </c>
      <c r="L127" s="278" t="str">
        <f t="shared" si="19"/>
        <v xml:space="preserve"> </v>
      </c>
      <c r="M127" s="851" t="str">
        <f t="shared" si="20"/>
        <v xml:space="preserve"> </v>
      </c>
      <c r="N127" s="851" t="str">
        <f t="shared" si="21"/>
        <v xml:space="preserve"> </v>
      </c>
    </row>
    <row r="128" spans="3:14">
      <c r="C128" s="844" t="s">
        <v>909</v>
      </c>
      <c r="D128" s="1277" t="s">
        <v>375</v>
      </c>
      <c r="E128" s="855" t="s">
        <v>966</v>
      </c>
      <c r="F128" s="1270"/>
      <c r="G128" s="855" t="s">
        <v>967</v>
      </c>
      <c r="H128" s="1485">
        <v>-24096.03</v>
      </c>
      <c r="I128" s="846" t="s">
        <v>328</v>
      </c>
      <c r="J128" s="851">
        <f t="shared" si="17"/>
        <v>-24096.03</v>
      </c>
      <c r="K128" s="278" t="str">
        <f t="shared" si="18"/>
        <v xml:space="preserve"> </v>
      </c>
      <c r="L128" s="278" t="str">
        <f t="shared" si="19"/>
        <v xml:space="preserve"> </v>
      </c>
      <c r="M128" s="851" t="str">
        <f t="shared" si="20"/>
        <v xml:space="preserve"> </v>
      </c>
      <c r="N128" s="851" t="str">
        <f t="shared" si="21"/>
        <v xml:space="preserve"> </v>
      </c>
    </row>
    <row r="129" spans="3:14">
      <c r="C129" s="844" t="s">
        <v>909</v>
      </c>
      <c r="D129" s="1277" t="s">
        <v>375</v>
      </c>
      <c r="E129" s="855" t="s">
        <v>1279</v>
      </c>
      <c r="F129" s="1270"/>
      <c r="G129" s="855" t="s">
        <v>968</v>
      </c>
      <c r="H129" s="1485">
        <v>-123947.88</v>
      </c>
      <c r="I129" s="846" t="s">
        <v>328</v>
      </c>
      <c r="J129" s="851">
        <f t="shared" si="17"/>
        <v>-123947.88</v>
      </c>
      <c r="K129" s="278" t="str">
        <f t="shared" si="18"/>
        <v xml:space="preserve"> </v>
      </c>
      <c r="L129" s="278" t="str">
        <f t="shared" si="19"/>
        <v xml:space="preserve"> </v>
      </c>
      <c r="M129" s="851" t="str">
        <f t="shared" si="20"/>
        <v xml:space="preserve"> </v>
      </c>
      <c r="N129" s="851" t="str">
        <f t="shared" si="21"/>
        <v xml:space="preserve"> </v>
      </c>
    </row>
    <row r="130" spans="3:14">
      <c r="C130" s="844" t="s">
        <v>909</v>
      </c>
      <c r="D130" s="1277" t="s">
        <v>375</v>
      </c>
      <c r="E130" s="855" t="s">
        <v>969</v>
      </c>
      <c r="F130" s="1270"/>
      <c r="G130" s="855" t="s">
        <v>970</v>
      </c>
      <c r="H130" s="1485"/>
      <c r="I130" s="846" t="s">
        <v>328</v>
      </c>
      <c r="J130" s="851">
        <f t="shared" si="17"/>
        <v>0</v>
      </c>
      <c r="K130" s="278" t="str">
        <f t="shared" si="18"/>
        <v xml:space="preserve"> </v>
      </c>
      <c r="L130" s="278" t="str">
        <f t="shared" si="19"/>
        <v xml:space="preserve"> </v>
      </c>
      <c r="M130" s="851" t="str">
        <f t="shared" si="20"/>
        <v xml:space="preserve"> </v>
      </c>
      <c r="N130" s="851" t="str">
        <f t="shared" si="21"/>
        <v xml:space="preserve"> </v>
      </c>
    </row>
    <row r="131" spans="3:14">
      <c r="C131" s="844" t="s">
        <v>909</v>
      </c>
      <c r="D131" s="1277" t="s">
        <v>375</v>
      </c>
      <c r="E131" s="855" t="s">
        <v>971</v>
      </c>
      <c r="F131" s="1270"/>
      <c r="G131" s="855" t="s">
        <v>972</v>
      </c>
      <c r="H131" s="1485"/>
      <c r="I131" s="846" t="s">
        <v>328</v>
      </c>
      <c r="J131" s="851">
        <f t="shared" si="17"/>
        <v>0</v>
      </c>
      <c r="K131" s="278" t="str">
        <f t="shared" si="18"/>
        <v xml:space="preserve"> </v>
      </c>
      <c r="L131" s="278" t="str">
        <f t="shared" si="19"/>
        <v xml:space="preserve"> </v>
      </c>
      <c r="M131" s="851" t="str">
        <f t="shared" si="20"/>
        <v xml:space="preserve"> </v>
      </c>
      <c r="N131" s="851" t="str">
        <f t="shared" si="21"/>
        <v xml:space="preserve"> </v>
      </c>
    </row>
    <row r="132" spans="3:14">
      <c r="C132" s="844" t="s">
        <v>909</v>
      </c>
      <c r="D132" s="1277" t="s">
        <v>375</v>
      </c>
      <c r="E132" s="855" t="s">
        <v>973</v>
      </c>
      <c r="F132" s="1270"/>
      <c r="G132" s="855" t="s">
        <v>974</v>
      </c>
      <c r="H132" s="1485">
        <v>280439.96999999997</v>
      </c>
      <c r="I132" s="846" t="s">
        <v>184</v>
      </c>
      <c r="J132" s="851" t="str">
        <f t="shared" si="17"/>
        <v xml:space="preserve"> </v>
      </c>
      <c r="K132" s="278" t="str">
        <f t="shared" si="18"/>
        <v xml:space="preserve"> </v>
      </c>
      <c r="L132" s="278">
        <f t="shared" si="19"/>
        <v>280439.96999999997</v>
      </c>
      <c r="M132" s="851" t="str">
        <f t="shared" si="20"/>
        <v xml:space="preserve"> </v>
      </c>
      <c r="N132" s="851" t="str">
        <f t="shared" si="21"/>
        <v xml:space="preserve"> </v>
      </c>
    </row>
    <row r="133" spans="3:14">
      <c r="C133" s="1480" t="s">
        <v>909</v>
      </c>
      <c r="D133" s="1490"/>
      <c r="E133" s="1482" t="s">
        <v>1511</v>
      </c>
      <c r="F133" s="1481"/>
      <c r="G133" s="1482" t="s">
        <v>1512</v>
      </c>
      <c r="H133" s="1485">
        <v>33344.5</v>
      </c>
      <c r="I133" s="846" t="s">
        <v>328</v>
      </c>
      <c r="J133" s="851">
        <f t="shared" si="17"/>
        <v>33344.5</v>
      </c>
      <c r="K133" s="278" t="str">
        <f t="shared" si="18"/>
        <v xml:space="preserve"> </v>
      </c>
      <c r="L133" s="278" t="str">
        <f t="shared" si="19"/>
        <v xml:space="preserve"> </v>
      </c>
      <c r="M133" s="851" t="str">
        <f t="shared" si="20"/>
        <v xml:space="preserve"> </v>
      </c>
      <c r="N133" s="851" t="str">
        <f t="shared" si="21"/>
        <v xml:space="preserve"> </v>
      </c>
    </row>
    <row r="134" spans="3:14">
      <c r="C134" s="1480" t="s">
        <v>909</v>
      </c>
      <c r="D134" s="1490"/>
      <c r="E134" s="1482" t="s">
        <v>1513</v>
      </c>
      <c r="F134" s="1481"/>
      <c r="G134" s="1482" t="s">
        <v>1514</v>
      </c>
      <c r="H134" s="1485">
        <v>26593.02</v>
      </c>
      <c r="I134" s="846" t="s">
        <v>328</v>
      </c>
      <c r="J134" s="851">
        <f t="shared" si="17"/>
        <v>26593.02</v>
      </c>
      <c r="K134" s="278" t="str">
        <f t="shared" si="18"/>
        <v xml:space="preserve"> </v>
      </c>
      <c r="L134" s="278" t="str">
        <f t="shared" si="19"/>
        <v xml:space="preserve"> </v>
      </c>
      <c r="M134" s="851" t="str">
        <f t="shared" si="20"/>
        <v xml:space="preserve"> </v>
      </c>
      <c r="N134" s="851" t="str">
        <f t="shared" si="21"/>
        <v xml:space="preserve"> </v>
      </c>
    </row>
    <row r="135" spans="3:14">
      <c r="C135" s="844" t="s">
        <v>909</v>
      </c>
      <c r="D135" s="1277" t="s">
        <v>375</v>
      </c>
      <c r="E135" s="855" t="s">
        <v>981</v>
      </c>
      <c r="F135" s="1270"/>
      <c r="G135" s="855" t="s">
        <v>982</v>
      </c>
      <c r="H135" s="1485">
        <v>-130687.63</v>
      </c>
      <c r="I135" s="846" t="s">
        <v>328</v>
      </c>
      <c r="J135" s="851">
        <f t="shared" si="17"/>
        <v>-130687.63</v>
      </c>
      <c r="K135" s="278" t="str">
        <f t="shared" si="18"/>
        <v xml:space="preserve"> </v>
      </c>
      <c r="L135" s="278" t="str">
        <f t="shared" si="19"/>
        <v xml:space="preserve"> </v>
      </c>
      <c r="M135" s="851" t="str">
        <f t="shared" si="20"/>
        <v xml:space="preserve"> </v>
      </c>
      <c r="N135" s="851" t="str">
        <f t="shared" si="21"/>
        <v xml:space="preserve"> </v>
      </c>
    </row>
    <row r="136" spans="3:14">
      <c r="C136" s="844" t="s">
        <v>909</v>
      </c>
      <c r="D136" s="1277" t="s">
        <v>375</v>
      </c>
      <c r="E136" s="855" t="s">
        <v>1363</v>
      </c>
      <c r="F136" s="1270"/>
      <c r="G136" s="855" t="s">
        <v>1364</v>
      </c>
      <c r="H136" s="1485">
        <v>0.1</v>
      </c>
      <c r="I136" s="846" t="s">
        <v>328</v>
      </c>
      <c r="J136" s="851">
        <f t="shared" ref="J136:J157" si="22">IF(I136="e",H136," ")</f>
        <v>0.1</v>
      </c>
      <c r="K136" s="278" t="str">
        <f t="shared" si="18"/>
        <v xml:space="preserve"> </v>
      </c>
      <c r="L136" s="278" t="str">
        <f t="shared" si="19"/>
        <v xml:space="preserve"> </v>
      </c>
      <c r="M136" s="851" t="str">
        <f t="shared" si="20"/>
        <v xml:space="preserve"> </v>
      </c>
      <c r="N136" s="851" t="str">
        <f t="shared" si="21"/>
        <v xml:space="preserve"> </v>
      </c>
    </row>
    <row r="137" spans="3:14">
      <c r="C137" s="844" t="s">
        <v>909</v>
      </c>
      <c r="D137" s="1277" t="s">
        <v>375</v>
      </c>
      <c r="E137" s="855" t="s">
        <v>1365</v>
      </c>
      <c r="F137" s="1270"/>
      <c r="G137" s="855" t="s">
        <v>1366</v>
      </c>
      <c r="H137" s="1485">
        <v>1008.6</v>
      </c>
      <c r="I137" s="846" t="s">
        <v>184</v>
      </c>
      <c r="J137" s="851" t="str">
        <f t="shared" si="22"/>
        <v xml:space="preserve"> </v>
      </c>
      <c r="K137" s="278" t="str">
        <f t="shared" si="18"/>
        <v xml:space="preserve"> </v>
      </c>
      <c r="L137" s="278">
        <f t="shared" si="19"/>
        <v>1008.6</v>
      </c>
      <c r="M137" s="851" t="str">
        <f t="shared" si="20"/>
        <v xml:space="preserve"> </v>
      </c>
      <c r="N137" s="851" t="str">
        <f t="shared" si="21"/>
        <v xml:space="preserve"> </v>
      </c>
    </row>
    <row r="138" spans="3:14">
      <c r="C138" s="844" t="s">
        <v>909</v>
      </c>
      <c r="D138" s="1277" t="s">
        <v>375</v>
      </c>
      <c r="E138" s="855" t="s">
        <v>989</v>
      </c>
      <c r="F138" s="1270"/>
      <c r="G138" s="855" t="s">
        <v>990</v>
      </c>
      <c r="H138" s="1485">
        <v>-692450.71</v>
      </c>
      <c r="I138" s="846" t="s">
        <v>328</v>
      </c>
      <c r="J138" s="851">
        <f t="shared" si="22"/>
        <v>-692450.71</v>
      </c>
      <c r="K138" s="278" t="str">
        <f t="shared" si="18"/>
        <v xml:space="preserve"> </v>
      </c>
      <c r="L138" s="278" t="str">
        <f t="shared" si="19"/>
        <v xml:space="preserve"> </v>
      </c>
      <c r="M138" s="851" t="str">
        <f t="shared" si="20"/>
        <v xml:space="preserve"> </v>
      </c>
      <c r="N138" s="851" t="str">
        <f t="shared" si="21"/>
        <v xml:space="preserve"> </v>
      </c>
    </row>
    <row r="139" spans="3:14">
      <c r="C139" s="844" t="s">
        <v>909</v>
      </c>
      <c r="D139" s="1277" t="s">
        <v>375</v>
      </c>
      <c r="E139" s="855" t="s">
        <v>1068</v>
      </c>
      <c r="F139" s="1270"/>
      <c r="G139" s="855" t="s">
        <v>903</v>
      </c>
      <c r="H139" s="1485">
        <v>672069.15</v>
      </c>
      <c r="I139" s="846" t="s">
        <v>337</v>
      </c>
      <c r="J139" s="851" t="str">
        <f t="shared" si="22"/>
        <v xml:space="preserve"> </v>
      </c>
      <c r="K139" s="278" t="str">
        <f t="shared" si="18"/>
        <v xml:space="preserve"> </v>
      </c>
      <c r="L139" s="278" t="str">
        <f t="shared" si="19"/>
        <v xml:space="preserve"> </v>
      </c>
      <c r="M139" s="851" t="str">
        <f t="shared" si="20"/>
        <v xml:space="preserve"> </v>
      </c>
      <c r="N139" s="851">
        <f t="shared" si="21"/>
        <v>672069.15</v>
      </c>
    </row>
    <row r="140" spans="3:14">
      <c r="C140" s="844" t="s">
        <v>909</v>
      </c>
      <c r="D140" s="1277" t="s">
        <v>375</v>
      </c>
      <c r="E140" s="855" t="s">
        <v>991</v>
      </c>
      <c r="F140" s="1270"/>
      <c r="G140" s="855" t="s">
        <v>992</v>
      </c>
      <c r="H140" s="1485">
        <v>11800149.02</v>
      </c>
      <c r="I140" s="846" t="s">
        <v>328</v>
      </c>
      <c r="J140" s="851">
        <f t="shared" si="22"/>
        <v>11800149.02</v>
      </c>
      <c r="K140" s="278" t="str">
        <f t="shared" si="18"/>
        <v xml:space="preserve"> </v>
      </c>
      <c r="L140" s="278" t="str">
        <f t="shared" si="19"/>
        <v xml:space="preserve"> </v>
      </c>
      <c r="M140" s="851" t="str">
        <f t="shared" si="20"/>
        <v xml:space="preserve"> </v>
      </c>
      <c r="N140" s="851" t="str">
        <f t="shared" si="21"/>
        <v xml:space="preserve"> </v>
      </c>
    </row>
    <row r="141" spans="3:14">
      <c r="C141" s="844" t="s">
        <v>909</v>
      </c>
      <c r="D141" s="1277" t="s">
        <v>375</v>
      </c>
      <c r="E141" s="855" t="s">
        <v>993</v>
      </c>
      <c r="F141" s="1270"/>
      <c r="G141" s="855" t="s">
        <v>994</v>
      </c>
      <c r="H141" s="1485">
        <v>162823.92000000001</v>
      </c>
      <c r="I141" s="846" t="s">
        <v>328</v>
      </c>
      <c r="J141" s="851">
        <f t="shared" si="22"/>
        <v>162823.92000000001</v>
      </c>
      <c r="K141" s="278" t="str">
        <f t="shared" si="18"/>
        <v xml:space="preserve"> </v>
      </c>
      <c r="L141" s="278" t="str">
        <f t="shared" si="19"/>
        <v xml:space="preserve"> </v>
      </c>
      <c r="M141" s="851" t="str">
        <f t="shared" si="20"/>
        <v xml:space="preserve"> </v>
      </c>
      <c r="N141" s="851" t="str">
        <f t="shared" si="21"/>
        <v xml:space="preserve"> </v>
      </c>
    </row>
    <row r="142" spans="3:14">
      <c r="C142" s="844" t="s">
        <v>909</v>
      </c>
      <c r="D142" s="1277" t="s">
        <v>375</v>
      </c>
      <c r="E142" s="855" t="s">
        <v>1280</v>
      </c>
      <c r="F142" s="1270"/>
      <c r="G142" s="855" t="s">
        <v>995</v>
      </c>
      <c r="H142" s="1485">
        <v>35913727.740000002</v>
      </c>
      <c r="I142" s="846" t="s">
        <v>184</v>
      </c>
      <c r="J142" s="851" t="str">
        <f t="shared" si="22"/>
        <v xml:space="preserve"> </v>
      </c>
      <c r="K142" s="278" t="str">
        <f t="shared" si="18"/>
        <v xml:space="preserve"> </v>
      </c>
      <c r="L142" s="278">
        <f t="shared" si="19"/>
        <v>35913727.740000002</v>
      </c>
      <c r="M142" s="851" t="str">
        <f t="shared" si="20"/>
        <v xml:space="preserve"> </v>
      </c>
      <c r="N142" s="851" t="str">
        <f t="shared" si="21"/>
        <v xml:space="preserve"> </v>
      </c>
    </row>
    <row r="143" spans="3:14">
      <c r="C143" s="844" t="s">
        <v>909</v>
      </c>
      <c r="D143" s="1277" t="s">
        <v>375</v>
      </c>
      <c r="E143" s="855" t="s">
        <v>998</v>
      </c>
      <c r="F143" s="1270"/>
      <c r="G143" s="855" t="s">
        <v>999</v>
      </c>
      <c r="H143" s="1485">
        <v>-558768</v>
      </c>
      <c r="I143" s="846" t="s">
        <v>328</v>
      </c>
      <c r="J143" s="851">
        <f t="shared" si="22"/>
        <v>-558768</v>
      </c>
      <c r="K143" s="278" t="str">
        <f t="shared" si="18"/>
        <v xml:space="preserve"> </v>
      </c>
      <c r="L143" s="278" t="str">
        <f t="shared" si="19"/>
        <v xml:space="preserve"> </v>
      </c>
      <c r="M143" s="851" t="str">
        <f t="shared" si="20"/>
        <v xml:space="preserve"> </v>
      </c>
      <c r="N143" s="851" t="str">
        <f t="shared" si="21"/>
        <v xml:space="preserve"> </v>
      </c>
    </row>
    <row r="144" spans="3:14">
      <c r="C144" s="844" t="s">
        <v>909</v>
      </c>
      <c r="D144" s="1277" t="s">
        <v>375</v>
      </c>
      <c r="E144" s="855" t="s">
        <v>1069</v>
      </c>
      <c r="F144" s="1270"/>
      <c r="G144" s="855" t="s">
        <v>1000</v>
      </c>
      <c r="H144" s="1485">
        <v>416398.8</v>
      </c>
      <c r="I144" s="846" t="s">
        <v>328</v>
      </c>
      <c r="J144" s="851">
        <f t="shared" si="22"/>
        <v>416398.8</v>
      </c>
      <c r="K144" s="278" t="str">
        <f t="shared" si="18"/>
        <v xml:space="preserve"> </v>
      </c>
      <c r="L144" s="278" t="str">
        <f t="shared" si="19"/>
        <v xml:space="preserve"> </v>
      </c>
      <c r="M144" s="851" t="str">
        <f t="shared" si="20"/>
        <v xml:space="preserve"> </v>
      </c>
      <c r="N144" s="851" t="str">
        <f t="shared" si="21"/>
        <v xml:space="preserve"> </v>
      </c>
    </row>
    <row r="145" spans="3:14">
      <c r="C145" s="844" t="s">
        <v>909</v>
      </c>
      <c r="D145" s="1277" t="s">
        <v>375</v>
      </c>
      <c r="E145" s="855" t="s">
        <v>1001</v>
      </c>
      <c r="F145" s="1270"/>
      <c r="G145" s="855" t="s">
        <v>1002</v>
      </c>
      <c r="H145" s="1485">
        <v>-20514.689999999999</v>
      </c>
      <c r="I145" s="846" t="s">
        <v>328</v>
      </c>
      <c r="J145" s="851">
        <f t="shared" si="22"/>
        <v>-20514.689999999999</v>
      </c>
      <c r="K145" s="278" t="str">
        <f t="shared" si="18"/>
        <v xml:space="preserve"> </v>
      </c>
      <c r="L145" s="278" t="str">
        <f t="shared" si="19"/>
        <v xml:space="preserve"> </v>
      </c>
      <c r="M145" s="851" t="str">
        <f t="shared" si="20"/>
        <v xml:space="preserve"> </v>
      </c>
      <c r="N145" s="851" t="str">
        <f t="shared" si="21"/>
        <v xml:space="preserve"> </v>
      </c>
    </row>
    <row r="146" spans="3:14">
      <c r="C146" s="844" t="s">
        <v>909</v>
      </c>
      <c r="D146" s="1277"/>
      <c r="E146" s="855" t="s">
        <v>1544</v>
      </c>
      <c r="F146" s="1270"/>
      <c r="G146" s="855" t="s">
        <v>1545</v>
      </c>
      <c r="H146" s="1485">
        <v>-301784.90999999997</v>
      </c>
      <c r="I146" s="846" t="s">
        <v>328</v>
      </c>
      <c r="J146" s="851">
        <f t="shared" si="22"/>
        <v>-301784.90999999997</v>
      </c>
      <c r="K146" s="278" t="str">
        <f t="shared" si="18"/>
        <v xml:space="preserve"> </v>
      </c>
      <c r="L146" s="278" t="str">
        <f t="shared" si="19"/>
        <v xml:space="preserve"> </v>
      </c>
      <c r="M146" s="851" t="str">
        <f t="shared" si="20"/>
        <v xml:space="preserve"> </v>
      </c>
      <c r="N146" s="851" t="str">
        <f t="shared" si="21"/>
        <v xml:space="preserve"> </v>
      </c>
    </row>
    <row r="147" spans="3:14">
      <c r="C147" s="844" t="s">
        <v>909</v>
      </c>
      <c r="D147" s="1277" t="s">
        <v>375</v>
      </c>
      <c r="E147" s="855" t="s">
        <v>1003</v>
      </c>
      <c r="F147" s="1270"/>
      <c r="G147" s="855" t="s">
        <v>1004</v>
      </c>
      <c r="H147" s="1485">
        <v>288501.01</v>
      </c>
      <c r="I147" s="846" t="s">
        <v>184</v>
      </c>
      <c r="J147" s="851" t="str">
        <f t="shared" si="22"/>
        <v xml:space="preserve"> </v>
      </c>
      <c r="K147" s="278"/>
      <c r="L147" s="278">
        <f t="shared" si="19"/>
        <v>288501.01</v>
      </c>
      <c r="M147" s="851"/>
      <c r="N147" s="851"/>
    </row>
    <row r="148" spans="3:14">
      <c r="C148" s="844" t="s">
        <v>909</v>
      </c>
      <c r="D148" s="1277" t="s">
        <v>375</v>
      </c>
      <c r="E148" s="855" t="s">
        <v>1005</v>
      </c>
      <c r="F148" s="1270"/>
      <c r="G148" s="855" t="s">
        <v>1006</v>
      </c>
      <c r="H148" s="1485">
        <v>0.09</v>
      </c>
      <c r="I148" s="846" t="s">
        <v>328</v>
      </c>
      <c r="J148" s="851">
        <f t="shared" si="22"/>
        <v>0.09</v>
      </c>
      <c r="K148" s="278"/>
      <c r="L148" s="278"/>
      <c r="M148" s="851"/>
      <c r="N148" s="851"/>
    </row>
    <row r="149" spans="3:14">
      <c r="C149" s="844" t="s">
        <v>909</v>
      </c>
      <c r="D149" s="1277" t="s">
        <v>375</v>
      </c>
      <c r="E149" s="855" t="s">
        <v>1007</v>
      </c>
      <c r="F149" s="1270"/>
      <c r="G149" s="855" t="s">
        <v>1008</v>
      </c>
      <c r="H149" s="1485">
        <v>0</v>
      </c>
      <c r="I149" s="846" t="s">
        <v>328</v>
      </c>
      <c r="J149" s="851">
        <f t="shared" si="22"/>
        <v>0</v>
      </c>
      <c r="K149" s="278"/>
      <c r="L149" s="278"/>
      <c r="M149" s="851"/>
      <c r="N149" s="851"/>
    </row>
    <row r="150" spans="3:14">
      <c r="C150" s="1480" t="s">
        <v>909</v>
      </c>
      <c r="D150" s="1489"/>
      <c r="E150" s="1482" t="s">
        <v>1507</v>
      </c>
      <c r="F150" s="1481"/>
      <c r="G150" s="1482" t="s">
        <v>1508</v>
      </c>
      <c r="H150" s="1485">
        <v>27831.1</v>
      </c>
      <c r="I150" s="846" t="s">
        <v>328</v>
      </c>
      <c r="J150" s="851">
        <f t="shared" si="22"/>
        <v>27831.1</v>
      </c>
      <c r="K150" s="278"/>
      <c r="L150" s="278"/>
      <c r="M150" s="851"/>
      <c r="N150" s="851"/>
    </row>
    <row r="151" spans="3:14">
      <c r="C151" s="1480" t="s">
        <v>909</v>
      </c>
      <c r="D151" s="1489" t="s">
        <v>375</v>
      </c>
      <c r="E151" s="1482" t="s">
        <v>1509</v>
      </c>
      <c r="F151" s="1481"/>
      <c r="G151" s="1482" t="s">
        <v>1510</v>
      </c>
      <c r="H151" s="1485">
        <v>103896.67</v>
      </c>
      <c r="I151" s="846" t="s">
        <v>328</v>
      </c>
      <c r="J151" s="851">
        <f t="shared" si="22"/>
        <v>103896.67</v>
      </c>
      <c r="K151" s="278"/>
      <c r="L151" s="278"/>
      <c r="M151" s="851"/>
      <c r="N151" s="851"/>
    </row>
    <row r="152" spans="3:14">
      <c r="C152"/>
      <c r="D152"/>
      <c r="E152" s="1270"/>
      <c r="F152" s="1270"/>
      <c r="G152" s="1270"/>
      <c r="H152" s="858"/>
      <c r="I152" s="1276"/>
      <c r="J152" s="851" t="str">
        <f t="shared" si="22"/>
        <v xml:space="preserve"> </v>
      </c>
      <c r="K152" s="278" t="str">
        <f>IF($I152="T",$H152," ")</f>
        <v xml:space="preserve"> </v>
      </c>
      <c r="L152" s="278" t="str">
        <f>IF($I152="PTD",$H152," ")</f>
        <v xml:space="preserve"> </v>
      </c>
      <c r="M152" s="851" t="str">
        <f>IF($I152="T&amp;D",$H152," ")</f>
        <v xml:space="preserve"> </v>
      </c>
      <c r="N152" s="851" t="str">
        <f>IF(I152="Labor",H152," ")</f>
        <v xml:space="preserve"> </v>
      </c>
    </row>
    <row r="153" spans="3:14">
      <c r="C153" s="1278">
        <v>1901002</v>
      </c>
      <c r="D153"/>
      <c r="E153" s="855" t="s">
        <v>1367</v>
      </c>
      <c r="F153" s="1270"/>
      <c r="G153" s="855" t="s">
        <v>1368</v>
      </c>
      <c r="H153" s="1485">
        <v>16194103</v>
      </c>
      <c r="I153" s="846" t="s">
        <v>328</v>
      </c>
      <c r="J153" s="851">
        <f t="shared" si="22"/>
        <v>16194103</v>
      </c>
      <c r="K153" s="278" t="str">
        <f>IF($I153="T",$H153," ")</f>
        <v xml:space="preserve"> </v>
      </c>
      <c r="L153" s="278" t="str">
        <f>IF($I153="PTD",$H153," ")</f>
        <v xml:space="preserve"> </v>
      </c>
      <c r="M153" s="851" t="str">
        <f>IF($I153="T&amp;D",$H153," ")</f>
        <v xml:space="preserve"> </v>
      </c>
      <c r="N153" s="851" t="str">
        <f>IF(I153="Labor",H153," ")</f>
        <v xml:space="preserve"> </v>
      </c>
    </row>
    <row r="154" spans="3:14">
      <c r="C154" s="1278">
        <v>1901002</v>
      </c>
      <c r="D154" s="1277"/>
      <c r="E154" s="855" t="s">
        <v>1328</v>
      </c>
      <c r="F154" s="1270"/>
      <c r="G154" s="855" t="s">
        <v>1329</v>
      </c>
      <c r="H154" s="1485">
        <v>17006003.73</v>
      </c>
      <c r="I154" s="846" t="s">
        <v>328</v>
      </c>
      <c r="J154" s="851">
        <f t="shared" si="22"/>
        <v>17006003.73</v>
      </c>
      <c r="K154" s="278" t="str">
        <f>IF($I154="T",$H154," ")</f>
        <v xml:space="preserve"> </v>
      </c>
      <c r="L154" s="278" t="str">
        <f>IF($I154="PTD",$H154," ")</f>
        <v xml:space="preserve"> </v>
      </c>
      <c r="M154" s="851" t="str">
        <f>IF($I154="T&amp;D",$H154," ")</f>
        <v xml:space="preserve"> </v>
      </c>
      <c r="N154" s="851" t="str">
        <f>IF(I154="Labor",H154," ")</f>
        <v xml:space="preserve"> </v>
      </c>
    </row>
    <row r="155" spans="3:14">
      <c r="C155" s="1278">
        <v>1901002</v>
      </c>
      <c r="D155" s="1277"/>
      <c r="E155" s="855" t="s">
        <v>1048</v>
      </c>
      <c r="F155" s="1270"/>
      <c r="G155" s="855" t="s">
        <v>871</v>
      </c>
      <c r="H155" s="1485">
        <v>20934918.710000001</v>
      </c>
      <c r="I155" s="846" t="s">
        <v>328</v>
      </c>
      <c r="J155" s="851">
        <f t="shared" si="22"/>
        <v>20934918.710000001</v>
      </c>
      <c r="K155" s="278" t="str">
        <f>IF($I155="T",$H155," ")</f>
        <v xml:space="preserve"> </v>
      </c>
      <c r="L155" s="278" t="str">
        <f>IF($I155="PTD",$H155," ")</f>
        <v xml:space="preserve"> </v>
      </c>
      <c r="M155" s="851" t="str">
        <f>IF($I155="T&amp;D",$H155," ")</f>
        <v xml:space="preserve"> </v>
      </c>
      <c r="N155" s="851" t="str">
        <f>IF(I155="Labor",H155," ")</f>
        <v xml:space="preserve"> </v>
      </c>
    </row>
    <row r="156" spans="3:14">
      <c r="C156" s="1492">
        <v>1901002</v>
      </c>
      <c r="D156" s="1491"/>
      <c r="E156" s="1482" t="s">
        <v>1497</v>
      </c>
      <c r="F156" s="1481"/>
      <c r="G156" s="1482" t="s">
        <v>1498</v>
      </c>
      <c r="H156" s="1485">
        <v>0</v>
      </c>
      <c r="I156" s="1484" t="s">
        <v>328</v>
      </c>
      <c r="J156" s="851">
        <f t="shared" si="22"/>
        <v>0</v>
      </c>
      <c r="K156" s="278"/>
      <c r="L156" s="278"/>
      <c r="M156" s="851"/>
      <c r="N156" s="851"/>
    </row>
    <row r="157" spans="3:14">
      <c r="C157" s="840"/>
      <c r="D157" s="839"/>
      <c r="E157" s="840"/>
      <c r="F157" s="844"/>
      <c r="G157" s="840"/>
      <c r="H157" s="841"/>
      <c r="I157" s="842"/>
      <c r="J157" s="851" t="str">
        <f t="shared" si="22"/>
        <v xml:space="preserve"> </v>
      </c>
      <c r="K157" s="278" t="str">
        <f>IF($I157="T",$H157," ")</f>
        <v xml:space="preserve"> </v>
      </c>
      <c r="L157" s="278" t="str">
        <f>IF($I157="PTD",$H157," ")</f>
        <v xml:space="preserve"> </v>
      </c>
      <c r="M157" s="851" t="str">
        <f>IF($I157="T&amp;D",$H157," ")</f>
        <v xml:space="preserve"> </v>
      </c>
      <c r="N157" s="851" t="str">
        <f>IF(I157="Labor",H157," ")</f>
        <v xml:space="preserve"> </v>
      </c>
    </row>
    <row r="158" spans="3:14">
      <c r="C158" s="844"/>
      <c r="D158" s="863"/>
      <c r="E158" s="844"/>
      <c r="F158" s="844"/>
      <c r="G158" s="844" t="s">
        <v>1467</v>
      </c>
      <c r="H158" s="869">
        <v>4841089.5999999996</v>
      </c>
      <c r="I158" s="846"/>
      <c r="J158" s="848">
        <v>2536880.6</v>
      </c>
      <c r="K158" s="848"/>
      <c r="L158" s="848">
        <v>2012685</v>
      </c>
      <c r="M158" s="848"/>
      <c r="N158" s="848">
        <v>291524</v>
      </c>
    </row>
    <row r="159" spans="3:14">
      <c r="C159" s="844"/>
      <c r="D159" s="863"/>
      <c r="E159" s="844"/>
      <c r="F159" s="844"/>
      <c r="G159" s="844"/>
      <c r="H159" s="869"/>
      <c r="I159" s="846"/>
      <c r="J159" s="851" t="str">
        <f>IF(I159="e",H159," ")</f>
        <v xml:space="preserve"> </v>
      </c>
      <c r="K159" s="278" t="str">
        <f>IF($I159="T",$H159," ")</f>
        <v xml:space="preserve"> </v>
      </c>
      <c r="L159" s="278" t="str">
        <f>IF($I159="PTD",$H159," ")</f>
        <v xml:space="preserve"> </v>
      </c>
      <c r="M159" s="851" t="str">
        <f>IF($I159="T&amp;D",$H159," ")</f>
        <v xml:space="preserve"> </v>
      </c>
      <c r="N159" s="851" t="str">
        <f>IF(I159="Labor",H159," ")</f>
        <v xml:space="preserve"> </v>
      </c>
    </row>
    <row r="160" spans="3:14">
      <c r="C160" s="844"/>
      <c r="D160" s="863"/>
      <c r="E160" s="844"/>
      <c r="F160" s="844"/>
      <c r="G160" s="844"/>
      <c r="H160" s="869"/>
      <c r="I160" s="846"/>
      <c r="J160" s="851" t="str">
        <f>IF(I160="e",H160," ")</f>
        <v xml:space="preserve"> </v>
      </c>
      <c r="K160" s="278" t="str">
        <f>IF($I160="T",$H160," ")</f>
        <v xml:space="preserve"> </v>
      </c>
      <c r="L160" s="278" t="str">
        <f>IF($I160="PTD",$H160," ")</f>
        <v xml:space="preserve"> </v>
      </c>
      <c r="M160" s="851" t="str">
        <f>IF($I160="T&amp;D",$H160," ")</f>
        <v xml:space="preserve"> </v>
      </c>
      <c r="N160" s="851" t="str">
        <f>IF(I160="Labor",H160," ")</f>
        <v xml:space="preserve"> </v>
      </c>
    </row>
    <row r="161" spans="3:15">
      <c r="C161" s="40"/>
      <c r="D161" s="670"/>
      <c r="E161" s="40"/>
      <c r="G161" s="40"/>
      <c r="H161" s="676"/>
      <c r="I161" s="278"/>
      <c r="J161" s="279"/>
      <c r="K161" s="279"/>
      <c r="L161" s="278"/>
      <c r="M161" s="279"/>
      <c r="N161" s="279"/>
    </row>
    <row r="162" spans="3:15">
      <c r="C162" s="706">
        <v>190.1</v>
      </c>
      <c r="D162" s="38"/>
      <c r="G162" s="194" t="s">
        <v>185</v>
      </c>
      <c r="H162" s="673">
        <f>SUM(H104:H160)</f>
        <v>123669008.46000001</v>
      </c>
      <c r="J162" s="673">
        <f>SUM(J104:J160)</f>
        <v>78212488.729999989</v>
      </c>
      <c r="K162" s="673">
        <f>SUM(K104:K160)</f>
        <v>0</v>
      </c>
      <c r="L162" s="673">
        <f>SUM(L104:L160)</f>
        <v>40560757.090000004</v>
      </c>
      <c r="M162" s="673">
        <f>SUM(M104:M160)</f>
        <v>0</v>
      </c>
      <c r="N162" s="673">
        <f>SUM(N104:N160)</f>
        <v>4895762.6399999997</v>
      </c>
      <c r="O162" s="674"/>
    </row>
    <row r="163" spans="3:15">
      <c r="G163" s="729" t="s">
        <v>151</v>
      </c>
      <c r="H163" s="867"/>
      <c r="I163" s="675"/>
    </row>
    <row r="165" spans="3:15">
      <c r="J165" s="268"/>
    </row>
    <row r="182" spans="3:8">
      <c r="C182" s="40"/>
      <c r="D182" s="670"/>
      <c r="E182" s="40"/>
      <c r="G182" s="40"/>
      <c r="H182" s="162"/>
    </row>
    <row r="218" spans="3:6">
      <c r="C218" s="40"/>
      <c r="D218" s="40"/>
      <c r="E218" s="40"/>
      <c r="F218" s="444"/>
    </row>
    <row r="219" spans="3:6">
      <c r="C219" s="40"/>
      <c r="D219" s="40"/>
      <c r="E219" s="40"/>
    </row>
    <row r="220" spans="3:6">
      <c r="C220" s="40"/>
      <c r="D220" s="40"/>
      <c r="E220" s="40"/>
    </row>
    <row r="221" spans="3:6">
      <c r="C221" s="40"/>
      <c r="D221" s="40"/>
      <c r="E221" s="40"/>
    </row>
    <row r="222" spans="3:6">
      <c r="C222" s="40"/>
      <c r="D222" s="40"/>
      <c r="E222" s="40"/>
    </row>
    <row r="223" spans="3:6">
      <c r="C223" s="40"/>
      <c r="D223" s="40"/>
      <c r="E223" s="40"/>
    </row>
    <row r="224" spans="3:6">
      <c r="C224" s="40"/>
      <c r="D224" s="40"/>
      <c r="E224" s="40"/>
    </row>
    <row r="225" spans="3:5">
      <c r="C225" s="40"/>
      <c r="D225" s="40"/>
      <c r="E225" s="40"/>
    </row>
    <row r="226" spans="3:5">
      <c r="C226" s="40"/>
      <c r="D226" s="40"/>
      <c r="E226" s="40"/>
    </row>
    <row r="227" spans="3:5">
      <c r="C227" s="40"/>
      <c r="D227" s="40"/>
      <c r="E227" s="40"/>
    </row>
    <row r="228" spans="3:5">
      <c r="C228" s="40"/>
      <c r="D228" s="40"/>
      <c r="E228" s="40"/>
    </row>
    <row r="229" spans="3:5">
      <c r="C229" s="40"/>
      <c r="D229" s="40"/>
      <c r="E229" s="40"/>
    </row>
    <row r="230" spans="3:5">
      <c r="C230" s="40"/>
      <c r="D230" s="40"/>
      <c r="E230" s="40"/>
    </row>
    <row r="231" spans="3:5">
      <c r="C231" s="40"/>
      <c r="D231" s="40"/>
      <c r="E231" s="40"/>
    </row>
    <row r="232" spans="3:5">
      <c r="C232" s="40"/>
      <c r="D232" s="40"/>
      <c r="E232" s="40"/>
    </row>
    <row r="233" spans="3:5">
      <c r="C233" s="40"/>
      <c r="D233" s="40"/>
      <c r="E233" s="40"/>
    </row>
    <row r="234" spans="3:5">
      <c r="C234" s="40"/>
      <c r="D234" s="40"/>
      <c r="E234" s="40"/>
    </row>
    <row r="235" spans="3:5">
      <c r="C235" s="40"/>
      <c r="D235" s="40"/>
      <c r="E235" s="40"/>
    </row>
    <row r="236" spans="3:5">
      <c r="C236" s="40"/>
      <c r="D236" s="40"/>
      <c r="E236" s="40"/>
    </row>
    <row r="237" spans="3:5">
      <c r="D237" s="38"/>
    </row>
    <row r="238" spans="3:5">
      <c r="D238" s="38"/>
    </row>
    <row r="239" spans="3:5">
      <c r="D239" s="38"/>
    </row>
    <row r="240" spans="3:5">
      <c r="D240" s="38"/>
    </row>
    <row r="241" spans="3:7">
      <c r="D241" s="38"/>
    </row>
    <row r="242" spans="3:7">
      <c r="D242" s="38"/>
    </row>
    <row r="243" spans="3:7">
      <c r="D243" s="38"/>
    </row>
    <row r="244" spans="3:7">
      <c r="D244" s="38"/>
    </row>
    <row r="245" spans="3:7">
      <c r="D245" s="38"/>
    </row>
    <row r="246" spans="3:7">
      <c r="D246" s="38"/>
    </row>
    <row r="247" spans="3:7">
      <c r="D247" s="38"/>
    </row>
    <row r="248" spans="3:7">
      <c r="D248" s="38"/>
    </row>
    <row r="249" spans="3:7">
      <c r="D249" s="38"/>
    </row>
    <row r="250" spans="3:7">
      <c r="D250" s="38"/>
    </row>
    <row r="251" spans="3:7">
      <c r="D251" s="38"/>
    </row>
    <row r="252" spans="3:7">
      <c r="D252" s="38"/>
    </row>
    <row r="253" spans="3:7">
      <c r="D253" s="38"/>
    </row>
    <row r="254" spans="3:7">
      <c r="C254" s="40"/>
      <c r="D254" s="670"/>
      <c r="E254" s="40"/>
      <c r="F254" s="40"/>
      <c r="G254" s="40"/>
    </row>
    <row r="255" spans="3:7">
      <c r="C255" s="40"/>
      <c r="D255" s="670"/>
      <c r="E255" s="40"/>
      <c r="F255" s="40"/>
      <c r="G255" s="40"/>
    </row>
    <row r="256" spans="3:7">
      <c r="C256" s="40"/>
      <c r="D256" s="670"/>
      <c r="E256" s="40"/>
      <c r="F256" s="40"/>
      <c r="G256" s="40"/>
    </row>
    <row r="257" spans="3:7">
      <c r="C257" s="40"/>
      <c r="D257" s="670"/>
      <c r="E257" s="40"/>
      <c r="F257" s="40"/>
      <c r="G257" s="40"/>
    </row>
    <row r="258" spans="3:7">
      <c r="C258" s="40"/>
      <c r="D258" s="670"/>
      <c r="E258" s="40"/>
      <c r="F258" s="40"/>
      <c r="G258" s="40"/>
    </row>
    <row r="259" spans="3:7">
      <c r="C259" s="40"/>
      <c r="D259" s="670"/>
      <c r="E259" s="40"/>
      <c r="F259" s="40"/>
      <c r="G259" s="40"/>
    </row>
  </sheetData>
  <mergeCells count="5">
    <mergeCell ref="J7:N7"/>
    <mergeCell ref="C3:N3"/>
    <mergeCell ref="C4:N4"/>
    <mergeCell ref="C5:N5"/>
    <mergeCell ref="C2:N2"/>
  </mergeCells>
  <phoneticPr fontId="0" type="noConversion"/>
  <conditionalFormatting sqref="O162 O99 O49">
    <cfRule type="cellIs" dxfId="7" priority="1" stopIfTrue="1" operator="equal">
      <formula>FALSE</formula>
    </cfRule>
  </conditionalFormatting>
  <printOptions horizontalCentered="1"/>
  <pageMargins left="0.25" right="0.25" top="1" bottom="0.25" header="0.65" footer="0.5"/>
  <pageSetup scale="54" fitToHeight="0" orientation="portrait" r:id="rId1"/>
  <headerFooter alignWithMargins="0">
    <oddHeader xml:space="preserve">&amp;R&amp;18AEP - SPP Formula Rate
TCOS - WS-C2
Page: &amp;P of &amp;N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IV62"/>
  <sheetViews>
    <sheetView topLeftCell="A4" zoomScale="70" zoomScaleNormal="70" zoomScaleSheetLayoutView="70" zoomScalePageLayoutView="90" workbookViewId="0">
      <selection activeCell="O34" sqref="O34"/>
    </sheetView>
  </sheetViews>
  <sheetFormatPr defaultRowHeight="12.75"/>
  <cols>
    <col min="1" max="1" width="9.140625" style="520"/>
    <col min="2" max="2" width="33.7109375" style="520" customWidth="1"/>
    <col min="3" max="4" width="14.5703125" style="520" customWidth="1"/>
    <col min="5" max="6" width="12" style="520" customWidth="1"/>
    <col min="7" max="7" width="15" style="520" customWidth="1"/>
    <col min="8" max="8" width="15.140625" style="520" customWidth="1"/>
    <col min="9" max="9" width="14.28515625" style="520" customWidth="1"/>
    <col min="10" max="16384" width="9.140625" style="520"/>
  </cols>
  <sheetData>
    <row r="2" spans="1:256" ht="18" customHeight="1">
      <c r="A2" s="1564" t="str">
        <f>+'PSO TCOS'!F3</f>
        <v xml:space="preserve">AEP West SPP Member Operating Companies </v>
      </c>
      <c r="B2" s="1564"/>
      <c r="C2" s="1564"/>
      <c r="D2" s="1564"/>
      <c r="E2" s="1564"/>
      <c r="F2" s="1564"/>
      <c r="G2" s="1564"/>
      <c r="H2" s="1564"/>
      <c r="I2" s="1564"/>
      <c r="J2" s="927"/>
      <c r="K2" s="927"/>
      <c r="L2" s="927"/>
    </row>
    <row r="3" spans="1:256" ht="18">
      <c r="A3" s="1570" t="str">
        <f>+'PSO TCOS'!F7</f>
        <v>PUBLIC SERVICE COMPANY OF OKLAHOMA</v>
      </c>
      <c r="B3" s="1570"/>
      <c r="C3" s="1570"/>
      <c r="D3" s="1570"/>
      <c r="E3" s="1570"/>
      <c r="F3" s="1570"/>
      <c r="G3" s="1570"/>
      <c r="H3" s="1570"/>
      <c r="I3" s="1570"/>
      <c r="J3" s="928"/>
      <c r="K3" s="928"/>
      <c r="L3" s="928"/>
    </row>
    <row r="4" spans="1:256" ht="18">
      <c r="A4" s="1562" t="s">
        <v>1134</v>
      </c>
      <c r="B4" s="1562"/>
      <c r="C4" s="1562"/>
      <c r="D4" s="1562"/>
      <c r="E4" s="1562"/>
      <c r="F4" s="1562"/>
      <c r="G4" s="1562"/>
      <c r="H4" s="1562"/>
      <c r="I4" s="1562"/>
      <c r="J4" s="928"/>
      <c r="K4" s="928"/>
      <c r="L4" s="928"/>
    </row>
    <row r="5" spans="1:256" ht="18">
      <c r="A5" s="1568" t="str">
        <f>"AS OF DECEMBER 31, "&amp;'PSO TCOS'!N1&amp;""</f>
        <v>AS OF DECEMBER 31, 2019</v>
      </c>
      <c r="B5" s="1568"/>
      <c r="C5" s="1568"/>
      <c r="D5" s="1568"/>
      <c r="E5" s="1568"/>
      <c r="F5" s="1568"/>
      <c r="G5" s="1568"/>
      <c r="H5" s="1568"/>
      <c r="I5" s="1568"/>
      <c r="J5" s="929"/>
      <c r="K5" s="929"/>
      <c r="L5" s="929"/>
    </row>
    <row r="6" spans="1:256" ht="15.75">
      <c r="A6" s="930"/>
      <c r="B6" s="1571"/>
      <c r="C6" s="1571"/>
      <c r="D6" s="1571"/>
      <c r="E6" s="1571"/>
      <c r="F6" s="931"/>
      <c r="G6" s="931"/>
      <c r="H6" s="931"/>
      <c r="I6" s="931"/>
      <c r="J6" s="930"/>
      <c r="K6" s="930"/>
      <c r="L6" s="930"/>
      <c r="M6" s="930"/>
      <c r="N6" s="930"/>
      <c r="O6" s="930"/>
      <c r="P6" s="930"/>
      <c r="Q6" s="930"/>
      <c r="R6" s="930"/>
      <c r="S6" s="930"/>
      <c r="T6" s="930"/>
      <c r="U6" s="930"/>
      <c r="V6" s="930"/>
      <c r="W6" s="930"/>
      <c r="X6" s="930"/>
      <c r="Y6" s="930"/>
      <c r="Z6" s="930"/>
      <c r="AA6" s="930"/>
      <c r="AB6" s="930"/>
      <c r="AC6" s="930"/>
      <c r="AD6" s="930"/>
      <c r="AE6" s="930"/>
      <c r="AF6" s="930"/>
      <c r="AG6" s="930"/>
      <c r="AH6" s="930"/>
      <c r="AI6" s="930"/>
      <c r="AJ6" s="930"/>
      <c r="AK6" s="930"/>
      <c r="AL6" s="930"/>
      <c r="AM6" s="930"/>
      <c r="AN6" s="930"/>
      <c r="AO6" s="930"/>
      <c r="AP6" s="930"/>
      <c r="AQ6" s="930"/>
      <c r="AR6" s="930"/>
      <c r="AS6" s="930"/>
      <c r="AT6" s="930"/>
      <c r="AU6" s="930"/>
      <c r="AV6" s="930"/>
      <c r="AW6" s="930"/>
      <c r="AX6" s="930"/>
      <c r="AY6" s="930"/>
      <c r="AZ6" s="930"/>
      <c r="BA6" s="930"/>
      <c r="BB6" s="930"/>
      <c r="BC6" s="930"/>
      <c r="BD6" s="930"/>
      <c r="BE6" s="930"/>
      <c r="BF6" s="930"/>
      <c r="BG6" s="930"/>
      <c r="BH6" s="930"/>
      <c r="BI6" s="930"/>
      <c r="BJ6" s="930"/>
      <c r="BK6" s="930"/>
      <c r="BL6" s="930"/>
      <c r="BM6" s="930"/>
      <c r="BN6" s="930"/>
      <c r="BO6" s="930"/>
      <c r="BP6" s="930"/>
      <c r="BQ6" s="930"/>
      <c r="BR6" s="930"/>
      <c r="BS6" s="930"/>
      <c r="BT6" s="930"/>
      <c r="BU6" s="930"/>
      <c r="BV6" s="930"/>
      <c r="BW6" s="930"/>
      <c r="BX6" s="930"/>
      <c r="BY6" s="930"/>
      <c r="BZ6" s="930"/>
      <c r="CA6" s="930"/>
      <c r="CB6" s="930"/>
      <c r="CC6" s="930"/>
      <c r="CD6" s="930"/>
      <c r="CE6" s="930"/>
      <c r="CF6" s="930"/>
      <c r="CG6" s="930"/>
      <c r="CH6" s="930"/>
      <c r="CI6" s="930"/>
      <c r="CJ6" s="930"/>
      <c r="CK6" s="930"/>
      <c r="CL6" s="930"/>
      <c r="CM6" s="930"/>
      <c r="CN6" s="930"/>
      <c r="CO6" s="930"/>
      <c r="CP6" s="930"/>
      <c r="CQ6" s="930"/>
      <c r="CR6" s="930"/>
      <c r="CS6" s="930"/>
      <c r="CT6" s="930"/>
      <c r="CU6" s="930"/>
      <c r="CV6" s="930"/>
      <c r="CW6" s="930"/>
      <c r="CX6" s="930"/>
      <c r="CY6" s="930"/>
      <c r="CZ6" s="930"/>
      <c r="DA6" s="930"/>
      <c r="DB6" s="930"/>
      <c r="DC6" s="930"/>
      <c r="DD6" s="930"/>
      <c r="DE6" s="930"/>
      <c r="DF6" s="930"/>
      <c r="DG6" s="930"/>
      <c r="DH6" s="930"/>
      <c r="DI6" s="930"/>
      <c r="DJ6" s="930"/>
      <c r="DK6" s="930"/>
      <c r="DL6" s="930"/>
      <c r="DM6" s="930"/>
      <c r="DN6" s="930"/>
      <c r="DO6" s="930"/>
      <c r="DP6" s="930"/>
      <c r="DQ6" s="930"/>
      <c r="DR6" s="930"/>
      <c r="DS6" s="930"/>
      <c r="DT6" s="930"/>
      <c r="DU6" s="930"/>
      <c r="DV6" s="930"/>
      <c r="DW6" s="930"/>
      <c r="DX6" s="930"/>
      <c r="DY6" s="930"/>
      <c r="DZ6" s="930"/>
      <c r="EA6" s="930"/>
      <c r="EB6" s="930"/>
      <c r="EC6" s="930"/>
      <c r="ED6" s="930"/>
      <c r="EE6" s="930"/>
      <c r="EF6" s="930"/>
      <c r="EG6" s="930"/>
      <c r="EH6" s="930"/>
      <c r="EI6" s="930"/>
      <c r="EJ6" s="930"/>
      <c r="EK6" s="930"/>
      <c r="EL6" s="930"/>
      <c r="EM6" s="930"/>
      <c r="EN6" s="930"/>
      <c r="EO6" s="930"/>
      <c r="EP6" s="930"/>
      <c r="EQ6" s="930"/>
      <c r="ER6" s="930"/>
      <c r="ES6" s="930"/>
      <c r="ET6" s="930"/>
      <c r="EU6" s="930"/>
      <c r="EV6" s="930"/>
      <c r="EW6" s="930"/>
      <c r="EX6" s="930"/>
      <c r="EY6" s="930"/>
      <c r="EZ6" s="930"/>
      <c r="FA6" s="930"/>
      <c r="FB6" s="930"/>
      <c r="FC6" s="930"/>
      <c r="FD6" s="930"/>
      <c r="FE6" s="930"/>
      <c r="FF6" s="930"/>
      <c r="FG6" s="930"/>
      <c r="FH6" s="930"/>
      <c r="FI6" s="930"/>
      <c r="FJ6" s="930"/>
      <c r="FK6" s="930"/>
      <c r="FL6" s="930"/>
      <c r="FM6" s="930"/>
      <c r="FN6" s="930"/>
      <c r="FO6" s="930"/>
      <c r="FP6" s="930"/>
      <c r="FQ6" s="930"/>
      <c r="FR6" s="930"/>
      <c r="FS6" s="930"/>
      <c r="FT6" s="930"/>
      <c r="FU6" s="930"/>
      <c r="FV6" s="930"/>
      <c r="FW6" s="930"/>
      <c r="FX6" s="930"/>
      <c r="FY6" s="930"/>
      <c r="FZ6" s="930"/>
      <c r="GA6" s="930"/>
      <c r="GB6" s="930"/>
      <c r="GC6" s="930"/>
      <c r="GD6" s="930"/>
      <c r="GE6" s="930"/>
      <c r="GF6" s="930"/>
      <c r="GG6" s="930"/>
      <c r="GH6" s="930"/>
      <c r="GI6" s="930"/>
      <c r="GJ6" s="930"/>
      <c r="GK6" s="930"/>
      <c r="GL6" s="930"/>
      <c r="GM6" s="930"/>
      <c r="GN6" s="930"/>
      <c r="GO6" s="930"/>
      <c r="GP6" s="930"/>
      <c r="GQ6" s="930"/>
      <c r="GR6" s="930"/>
      <c r="GS6" s="930"/>
      <c r="GT6" s="930"/>
      <c r="GU6" s="930"/>
      <c r="GV6" s="930"/>
      <c r="GW6" s="930"/>
      <c r="GX6" s="930"/>
      <c r="GY6" s="930"/>
      <c r="GZ6" s="930"/>
      <c r="HA6" s="930"/>
      <c r="HB6" s="930"/>
      <c r="HC6" s="930"/>
      <c r="HD6" s="930"/>
      <c r="HE6" s="930"/>
      <c r="HF6" s="930"/>
      <c r="HG6" s="930"/>
      <c r="HH6" s="930"/>
      <c r="HI6" s="930"/>
      <c r="HJ6" s="930"/>
      <c r="HK6" s="930"/>
      <c r="HL6" s="930"/>
      <c r="HM6" s="930"/>
      <c r="HN6" s="930"/>
      <c r="HO6" s="930"/>
      <c r="HP6" s="930"/>
      <c r="HQ6" s="930"/>
      <c r="HR6" s="930"/>
      <c r="HS6" s="930"/>
      <c r="HT6" s="930"/>
      <c r="HU6" s="930"/>
      <c r="HV6" s="930"/>
      <c r="HW6" s="930"/>
      <c r="HX6" s="930"/>
      <c r="HY6" s="930"/>
      <c r="HZ6" s="930"/>
      <c r="IA6" s="930"/>
      <c r="IB6" s="930"/>
      <c r="IC6" s="930"/>
      <c r="ID6" s="930"/>
      <c r="IE6" s="930"/>
      <c r="IF6" s="930"/>
      <c r="IG6" s="930"/>
      <c r="IH6" s="930"/>
      <c r="II6" s="930"/>
      <c r="IJ6" s="930"/>
      <c r="IK6" s="930"/>
      <c r="IL6" s="930"/>
      <c r="IM6" s="930"/>
      <c r="IN6" s="930"/>
      <c r="IO6" s="930"/>
      <c r="IP6" s="930"/>
      <c r="IQ6" s="930"/>
      <c r="IR6" s="930"/>
      <c r="IS6" s="930"/>
      <c r="IT6" s="930"/>
      <c r="IU6" s="930"/>
      <c r="IV6" s="930"/>
    </row>
    <row r="7" spans="1:256" ht="57" customHeight="1">
      <c r="A7" s="1572" t="s">
        <v>1115</v>
      </c>
      <c r="B7" s="1572"/>
      <c r="C7" s="1572"/>
      <c r="D7" s="1572"/>
      <c r="E7" s="1572"/>
      <c r="F7" s="1572"/>
      <c r="G7" s="1572"/>
      <c r="H7" s="1572"/>
      <c r="I7" s="1572"/>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0"/>
      <c r="AY7" s="930"/>
      <c r="AZ7" s="930"/>
      <c r="BA7" s="930"/>
      <c r="BB7" s="930"/>
      <c r="BC7" s="930"/>
      <c r="BD7" s="930"/>
      <c r="BE7" s="930"/>
      <c r="BF7" s="930"/>
      <c r="BG7" s="930"/>
      <c r="BH7" s="930"/>
      <c r="BI7" s="930"/>
      <c r="BJ7" s="930"/>
      <c r="BK7" s="930"/>
      <c r="BL7" s="930"/>
      <c r="BM7" s="930"/>
      <c r="BN7" s="930"/>
      <c r="BO7" s="930"/>
      <c r="BP7" s="930"/>
      <c r="BQ7" s="930"/>
      <c r="BR7" s="930"/>
      <c r="BS7" s="930"/>
      <c r="BT7" s="930"/>
      <c r="BU7" s="930"/>
      <c r="BV7" s="930"/>
      <c r="BW7" s="930"/>
      <c r="BX7" s="930"/>
      <c r="BY7" s="930"/>
      <c r="BZ7" s="930"/>
      <c r="CA7" s="930"/>
      <c r="CB7" s="930"/>
      <c r="CC7" s="930"/>
      <c r="CD7" s="930"/>
      <c r="CE7" s="930"/>
      <c r="CF7" s="930"/>
      <c r="CG7" s="930"/>
      <c r="CH7" s="930"/>
      <c r="CI7" s="930"/>
      <c r="CJ7" s="930"/>
      <c r="CK7" s="930"/>
      <c r="CL7" s="930"/>
      <c r="CM7" s="930"/>
      <c r="CN7" s="930"/>
      <c r="CO7" s="930"/>
      <c r="CP7" s="930"/>
      <c r="CQ7" s="930"/>
      <c r="CR7" s="930"/>
      <c r="CS7" s="930"/>
      <c r="CT7" s="930"/>
      <c r="CU7" s="930"/>
      <c r="CV7" s="930"/>
      <c r="CW7" s="930"/>
      <c r="CX7" s="930"/>
      <c r="CY7" s="930"/>
      <c r="CZ7" s="930"/>
      <c r="DA7" s="930"/>
      <c r="DB7" s="930"/>
      <c r="DC7" s="930"/>
      <c r="DD7" s="930"/>
      <c r="DE7" s="930"/>
      <c r="DF7" s="930"/>
      <c r="DG7" s="930"/>
      <c r="DH7" s="930"/>
      <c r="DI7" s="930"/>
      <c r="DJ7" s="930"/>
      <c r="DK7" s="930"/>
      <c r="DL7" s="930"/>
      <c r="DM7" s="930"/>
      <c r="DN7" s="930"/>
      <c r="DO7" s="930"/>
      <c r="DP7" s="930"/>
      <c r="DQ7" s="930"/>
      <c r="DR7" s="930"/>
      <c r="DS7" s="930"/>
      <c r="DT7" s="930"/>
      <c r="DU7" s="930"/>
      <c r="DV7" s="930"/>
      <c r="DW7" s="930"/>
      <c r="DX7" s="930"/>
      <c r="DY7" s="930"/>
      <c r="DZ7" s="930"/>
      <c r="EA7" s="930"/>
      <c r="EB7" s="930"/>
      <c r="EC7" s="930"/>
      <c r="ED7" s="930"/>
      <c r="EE7" s="930"/>
      <c r="EF7" s="930"/>
      <c r="EG7" s="930"/>
      <c r="EH7" s="930"/>
      <c r="EI7" s="930"/>
      <c r="EJ7" s="930"/>
      <c r="EK7" s="930"/>
      <c r="EL7" s="930"/>
      <c r="EM7" s="930"/>
      <c r="EN7" s="930"/>
      <c r="EO7" s="930"/>
      <c r="EP7" s="930"/>
      <c r="EQ7" s="930"/>
      <c r="ER7" s="930"/>
      <c r="ES7" s="930"/>
      <c r="ET7" s="930"/>
      <c r="EU7" s="930"/>
      <c r="EV7" s="930"/>
      <c r="EW7" s="930"/>
      <c r="EX7" s="930"/>
      <c r="EY7" s="930"/>
      <c r="EZ7" s="930"/>
      <c r="FA7" s="930"/>
      <c r="FB7" s="930"/>
      <c r="FC7" s="930"/>
      <c r="FD7" s="930"/>
      <c r="FE7" s="930"/>
      <c r="FF7" s="930"/>
      <c r="FG7" s="930"/>
      <c r="FH7" s="930"/>
      <c r="FI7" s="930"/>
      <c r="FJ7" s="930"/>
      <c r="FK7" s="930"/>
      <c r="FL7" s="930"/>
      <c r="FM7" s="930"/>
      <c r="FN7" s="930"/>
      <c r="FO7" s="930"/>
      <c r="FP7" s="930"/>
      <c r="FQ7" s="930"/>
      <c r="FR7" s="930"/>
      <c r="FS7" s="930"/>
      <c r="FT7" s="930"/>
      <c r="FU7" s="930"/>
      <c r="FV7" s="930"/>
      <c r="FW7" s="930"/>
      <c r="FX7" s="930"/>
      <c r="FY7" s="930"/>
      <c r="FZ7" s="930"/>
      <c r="GA7" s="930"/>
      <c r="GB7" s="930"/>
      <c r="GC7" s="930"/>
      <c r="GD7" s="930"/>
      <c r="GE7" s="930"/>
      <c r="GF7" s="930"/>
      <c r="GG7" s="930"/>
      <c r="GH7" s="930"/>
      <c r="GI7" s="930"/>
      <c r="GJ7" s="930"/>
      <c r="GK7" s="930"/>
      <c r="GL7" s="930"/>
      <c r="GM7" s="930"/>
      <c r="GN7" s="930"/>
      <c r="GO7" s="930"/>
      <c r="GP7" s="930"/>
      <c r="GQ7" s="930"/>
      <c r="GR7" s="930"/>
      <c r="GS7" s="930"/>
      <c r="GT7" s="930"/>
      <c r="GU7" s="930"/>
      <c r="GV7" s="930"/>
      <c r="GW7" s="930"/>
      <c r="GX7" s="930"/>
      <c r="GY7" s="930"/>
      <c r="GZ7" s="930"/>
      <c r="HA7" s="930"/>
      <c r="HB7" s="930"/>
      <c r="HC7" s="930"/>
      <c r="HD7" s="930"/>
      <c r="HE7" s="930"/>
      <c r="HF7" s="930"/>
      <c r="HG7" s="930"/>
      <c r="HH7" s="930"/>
      <c r="HI7" s="930"/>
      <c r="HJ7" s="930"/>
      <c r="HK7" s="930"/>
      <c r="HL7" s="930"/>
      <c r="HM7" s="930"/>
      <c r="HN7" s="930"/>
      <c r="HO7" s="930"/>
      <c r="HP7" s="930"/>
      <c r="HQ7" s="930"/>
      <c r="HR7" s="930"/>
      <c r="HS7" s="930"/>
      <c r="HT7" s="930"/>
      <c r="HU7" s="930"/>
      <c r="HV7" s="930"/>
      <c r="HW7" s="930"/>
      <c r="HX7" s="930"/>
      <c r="HY7" s="930"/>
      <c r="HZ7" s="930"/>
      <c r="IA7" s="930"/>
      <c r="IB7" s="930"/>
      <c r="IC7" s="930"/>
      <c r="ID7" s="930"/>
      <c r="IE7" s="930"/>
      <c r="IF7" s="930"/>
      <c r="IG7" s="930"/>
      <c r="IH7" s="930"/>
      <c r="II7" s="930"/>
      <c r="IJ7" s="930"/>
      <c r="IK7" s="930"/>
      <c r="IL7" s="930"/>
      <c r="IM7" s="930"/>
      <c r="IN7" s="930"/>
      <c r="IO7" s="930"/>
      <c r="IP7" s="930"/>
      <c r="IQ7" s="930"/>
      <c r="IR7" s="930"/>
      <c r="IS7" s="930"/>
      <c r="IT7" s="930"/>
      <c r="IU7" s="930"/>
      <c r="IV7" s="930"/>
    </row>
    <row r="8" spans="1:256">
      <c r="A8" s="932"/>
      <c r="B8" s="932"/>
      <c r="C8" s="932"/>
      <c r="D8" s="932"/>
      <c r="E8" s="932"/>
      <c r="F8" s="932"/>
      <c r="G8" s="932"/>
      <c r="H8" s="932"/>
      <c r="I8" s="932"/>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0"/>
      <c r="AY8" s="930"/>
      <c r="AZ8" s="930"/>
      <c r="BA8" s="930"/>
      <c r="BB8" s="930"/>
      <c r="BC8" s="930"/>
      <c r="BD8" s="930"/>
      <c r="BE8" s="930"/>
      <c r="BF8" s="930"/>
      <c r="BG8" s="930"/>
      <c r="BH8" s="930"/>
      <c r="BI8" s="930"/>
      <c r="BJ8" s="930"/>
      <c r="BK8" s="930"/>
      <c r="BL8" s="930"/>
      <c r="BM8" s="930"/>
      <c r="BN8" s="930"/>
      <c r="BO8" s="930"/>
      <c r="BP8" s="930"/>
      <c r="BQ8" s="930"/>
      <c r="BR8" s="930"/>
      <c r="BS8" s="930"/>
      <c r="BT8" s="930"/>
      <c r="BU8" s="930"/>
      <c r="BV8" s="930"/>
      <c r="BW8" s="930"/>
      <c r="BX8" s="930"/>
      <c r="BY8" s="930"/>
      <c r="BZ8" s="930"/>
      <c r="CA8" s="930"/>
      <c r="CB8" s="930"/>
      <c r="CC8" s="930"/>
      <c r="CD8" s="930"/>
      <c r="CE8" s="930"/>
      <c r="CF8" s="930"/>
      <c r="CG8" s="930"/>
      <c r="CH8" s="930"/>
      <c r="CI8" s="930"/>
      <c r="CJ8" s="930"/>
      <c r="CK8" s="930"/>
      <c r="CL8" s="930"/>
      <c r="CM8" s="930"/>
      <c r="CN8" s="930"/>
      <c r="CO8" s="930"/>
      <c r="CP8" s="930"/>
      <c r="CQ8" s="930"/>
      <c r="CR8" s="930"/>
      <c r="CS8" s="930"/>
      <c r="CT8" s="930"/>
      <c r="CU8" s="930"/>
      <c r="CV8" s="930"/>
      <c r="CW8" s="930"/>
      <c r="CX8" s="930"/>
      <c r="CY8" s="930"/>
      <c r="CZ8" s="930"/>
      <c r="DA8" s="930"/>
      <c r="DB8" s="930"/>
      <c r="DC8" s="930"/>
      <c r="DD8" s="930"/>
      <c r="DE8" s="930"/>
      <c r="DF8" s="930"/>
      <c r="DG8" s="930"/>
      <c r="DH8" s="930"/>
      <c r="DI8" s="930"/>
      <c r="DJ8" s="930"/>
      <c r="DK8" s="930"/>
      <c r="DL8" s="930"/>
      <c r="DM8" s="930"/>
      <c r="DN8" s="930"/>
      <c r="DO8" s="930"/>
      <c r="DP8" s="930"/>
      <c r="DQ8" s="930"/>
      <c r="DR8" s="930"/>
      <c r="DS8" s="930"/>
      <c r="DT8" s="930"/>
      <c r="DU8" s="930"/>
      <c r="DV8" s="930"/>
      <c r="DW8" s="930"/>
      <c r="DX8" s="930"/>
      <c r="DY8" s="930"/>
      <c r="DZ8" s="930"/>
      <c r="EA8" s="930"/>
      <c r="EB8" s="930"/>
      <c r="EC8" s="930"/>
      <c r="ED8" s="930"/>
      <c r="EE8" s="930"/>
      <c r="EF8" s="930"/>
      <c r="EG8" s="930"/>
      <c r="EH8" s="930"/>
      <c r="EI8" s="930"/>
      <c r="EJ8" s="930"/>
      <c r="EK8" s="930"/>
      <c r="EL8" s="930"/>
      <c r="EM8" s="930"/>
      <c r="EN8" s="930"/>
      <c r="EO8" s="930"/>
      <c r="EP8" s="930"/>
      <c r="EQ8" s="930"/>
      <c r="ER8" s="930"/>
      <c r="ES8" s="930"/>
      <c r="ET8" s="930"/>
      <c r="EU8" s="930"/>
      <c r="EV8" s="930"/>
      <c r="EW8" s="930"/>
      <c r="EX8" s="930"/>
      <c r="EY8" s="930"/>
      <c r="EZ8" s="930"/>
      <c r="FA8" s="930"/>
      <c r="FB8" s="930"/>
      <c r="FC8" s="930"/>
      <c r="FD8" s="930"/>
      <c r="FE8" s="930"/>
      <c r="FF8" s="930"/>
      <c r="FG8" s="930"/>
      <c r="FH8" s="930"/>
      <c r="FI8" s="930"/>
      <c r="FJ8" s="930"/>
      <c r="FK8" s="930"/>
      <c r="FL8" s="930"/>
      <c r="FM8" s="930"/>
      <c r="FN8" s="930"/>
      <c r="FO8" s="930"/>
      <c r="FP8" s="930"/>
      <c r="FQ8" s="930"/>
      <c r="FR8" s="930"/>
      <c r="FS8" s="930"/>
      <c r="FT8" s="930"/>
      <c r="FU8" s="930"/>
      <c r="FV8" s="930"/>
      <c r="FW8" s="930"/>
      <c r="FX8" s="930"/>
      <c r="FY8" s="930"/>
      <c r="FZ8" s="930"/>
      <c r="GA8" s="930"/>
      <c r="GB8" s="930"/>
      <c r="GC8" s="930"/>
      <c r="GD8" s="930"/>
      <c r="GE8" s="930"/>
      <c r="GF8" s="930"/>
      <c r="GG8" s="930"/>
      <c r="GH8" s="930"/>
      <c r="GI8" s="930"/>
      <c r="GJ8" s="930"/>
      <c r="GK8" s="930"/>
      <c r="GL8" s="930"/>
      <c r="GM8" s="930"/>
      <c r="GN8" s="930"/>
      <c r="GO8" s="930"/>
      <c r="GP8" s="930"/>
      <c r="GQ8" s="930"/>
      <c r="GR8" s="930"/>
      <c r="GS8" s="930"/>
      <c r="GT8" s="930"/>
      <c r="GU8" s="930"/>
      <c r="GV8" s="930"/>
      <c r="GW8" s="930"/>
      <c r="GX8" s="930"/>
      <c r="GY8" s="930"/>
      <c r="GZ8" s="930"/>
      <c r="HA8" s="930"/>
      <c r="HB8" s="930"/>
      <c r="HC8" s="930"/>
      <c r="HD8" s="930"/>
      <c r="HE8" s="930"/>
      <c r="HF8" s="930"/>
      <c r="HG8" s="930"/>
      <c r="HH8" s="930"/>
      <c r="HI8" s="930"/>
      <c r="HJ8" s="930"/>
      <c r="HK8" s="930"/>
      <c r="HL8" s="930"/>
      <c r="HM8" s="930"/>
      <c r="HN8" s="930"/>
      <c r="HO8" s="930"/>
      <c r="HP8" s="930"/>
      <c r="HQ8" s="930"/>
      <c r="HR8" s="930"/>
      <c r="HS8" s="930"/>
      <c r="HT8" s="930"/>
      <c r="HU8" s="930"/>
      <c r="HV8" s="930"/>
      <c r="HW8" s="930"/>
      <c r="HX8" s="930"/>
      <c r="HY8" s="930"/>
      <c r="HZ8" s="930"/>
      <c r="IA8" s="930"/>
      <c r="IB8" s="930"/>
      <c r="IC8" s="930"/>
      <c r="ID8" s="930"/>
      <c r="IE8" s="930"/>
      <c r="IF8" s="930"/>
      <c r="IG8" s="930"/>
      <c r="IH8" s="930"/>
      <c r="II8" s="930"/>
      <c r="IJ8" s="930"/>
      <c r="IK8" s="930"/>
      <c r="IL8" s="930"/>
      <c r="IM8" s="930"/>
      <c r="IN8" s="930"/>
      <c r="IO8" s="930"/>
      <c r="IP8" s="930"/>
      <c r="IQ8" s="930"/>
      <c r="IR8" s="930"/>
      <c r="IS8" s="930"/>
      <c r="IT8" s="930"/>
      <c r="IU8" s="930"/>
      <c r="IV8" s="930"/>
    </row>
    <row r="9" spans="1:256">
      <c r="B9" s="932"/>
      <c r="C9" s="932"/>
      <c r="D9" s="932"/>
      <c r="E9" s="932"/>
      <c r="F9" s="932"/>
      <c r="G9" s="932"/>
      <c r="H9" s="932"/>
      <c r="I9" s="932"/>
      <c r="J9" s="930"/>
      <c r="K9" s="930"/>
      <c r="L9" s="930"/>
      <c r="M9" s="930"/>
      <c r="N9" s="930"/>
      <c r="O9" s="930"/>
      <c r="P9" s="930"/>
      <c r="Q9" s="930"/>
      <c r="R9" s="930"/>
      <c r="S9" s="930"/>
      <c r="T9" s="930"/>
      <c r="U9" s="930"/>
      <c r="V9" s="930"/>
      <c r="W9" s="930"/>
      <c r="X9" s="930"/>
      <c r="Y9" s="930"/>
      <c r="Z9" s="930"/>
      <c r="AA9" s="930"/>
      <c r="AB9" s="930"/>
      <c r="AC9" s="930"/>
      <c r="AD9" s="930"/>
      <c r="AE9" s="930"/>
      <c r="AF9" s="930"/>
      <c r="AG9" s="930"/>
      <c r="AH9" s="930"/>
      <c r="AI9" s="930"/>
      <c r="AJ9" s="930"/>
      <c r="AK9" s="930"/>
      <c r="AL9" s="930"/>
      <c r="AM9" s="930"/>
      <c r="AN9" s="930"/>
      <c r="AO9" s="930"/>
      <c r="AP9" s="930"/>
      <c r="AQ9" s="930"/>
      <c r="AR9" s="930"/>
      <c r="AS9" s="930"/>
      <c r="AT9" s="930"/>
      <c r="AU9" s="930"/>
      <c r="AV9" s="930"/>
      <c r="AW9" s="930"/>
      <c r="AX9" s="930"/>
      <c r="AY9" s="930"/>
      <c r="AZ9" s="930"/>
      <c r="BA9" s="930"/>
      <c r="BB9" s="930"/>
      <c r="BC9" s="930"/>
      <c r="BD9" s="930"/>
      <c r="BE9" s="930"/>
      <c r="BF9" s="930"/>
      <c r="BG9" s="930"/>
      <c r="BH9" s="930"/>
      <c r="BI9" s="930"/>
      <c r="BJ9" s="930"/>
      <c r="BK9" s="930"/>
      <c r="BL9" s="930"/>
      <c r="BM9" s="930"/>
      <c r="BN9" s="930"/>
      <c r="BO9" s="930"/>
      <c r="BP9" s="930"/>
      <c r="BQ9" s="930"/>
      <c r="BR9" s="930"/>
      <c r="BS9" s="930"/>
      <c r="BT9" s="930"/>
      <c r="BU9" s="930"/>
      <c r="BV9" s="930"/>
      <c r="BW9" s="930"/>
      <c r="BX9" s="930"/>
      <c r="BY9" s="930"/>
      <c r="BZ9" s="930"/>
      <c r="CA9" s="930"/>
      <c r="CB9" s="930"/>
      <c r="CC9" s="930"/>
      <c r="CD9" s="930"/>
      <c r="CE9" s="930"/>
      <c r="CF9" s="930"/>
      <c r="CG9" s="930"/>
      <c r="CH9" s="930"/>
      <c r="CI9" s="930"/>
      <c r="CJ9" s="930"/>
      <c r="CK9" s="930"/>
      <c r="CL9" s="930"/>
      <c r="CM9" s="930"/>
      <c r="CN9" s="930"/>
      <c r="CO9" s="930"/>
      <c r="CP9" s="930"/>
      <c r="CQ9" s="930"/>
      <c r="CR9" s="930"/>
      <c r="CS9" s="930"/>
      <c r="CT9" s="930"/>
      <c r="CU9" s="930"/>
      <c r="CV9" s="930"/>
      <c r="CW9" s="930"/>
      <c r="CX9" s="930"/>
      <c r="CY9" s="930"/>
      <c r="CZ9" s="930"/>
      <c r="DA9" s="930"/>
      <c r="DB9" s="930"/>
      <c r="DC9" s="930"/>
      <c r="DD9" s="930"/>
      <c r="DE9" s="930"/>
      <c r="DF9" s="930"/>
      <c r="DG9" s="930"/>
      <c r="DH9" s="930"/>
      <c r="DI9" s="930"/>
      <c r="DJ9" s="930"/>
      <c r="DK9" s="930"/>
      <c r="DL9" s="930"/>
      <c r="DM9" s="930"/>
      <c r="DN9" s="930"/>
      <c r="DO9" s="930"/>
      <c r="DP9" s="930"/>
      <c r="DQ9" s="930"/>
      <c r="DR9" s="930"/>
      <c r="DS9" s="930"/>
      <c r="DT9" s="930"/>
      <c r="DU9" s="930"/>
      <c r="DV9" s="930"/>
      <c r="DW9" s="930"/>
      <c r="DX9" s="930"/>
      <c r="DY9" s="930"/>
      <c r="DZ9" s="930"/>
      <c r="EA9" s="930"/>
      <c r="EB9" s="930"/>
      <c r="EC9" s="930"/>
      <c r="ED9" s="930"/>
      <c r="EE9" s="930"/>
      <c r="EF9" s="930"/>
      <c r="EG9" s="930"/>
      <c r="EH9" s="930"/>
      <c r="EI9" s="930"/>
      <c r="EJ9" s="930"/>
      <c r="EK9" s="930"/>
      <c r="EL9" s="930"/>
      <c r="EM9" s="930"/>
      <c r="EN9" s="930"/>
      <c r="EO9" s="930"/>
      <c r="EP9" s="930"/>
      <c r="EQ9" s="930"/>
      <c r="ER9" s="930"/>
      <c r="ES9" s="930"/>
      <c r="ET9" s="930"/>
      <c r="EU9" s="930"/>
      <c r="EV9" s="930"/>
      <c r="EW9" s="930"/>
      <c r="EX9" s="930"/>
      <c r="EY9" s="930"/>
      <c r="EZ9" s="930"/>
      <c r="FA9" s="930"/>
      <c r="FB9" s="930"/>
      <c r="FC9" s="930"/>
      <c r="FD9" s="930"/>
      <c r="FE9" s="930"/>
      <c r="FF9" s="930"/>
      <c r="FG9" s="930"/>
      <c r="FH9" s="930"/>
      <c r="FI9" s="930"/>
      <c r="FJ9" s="930"/>
      <c r="FK9" s="930"/>
      <c r="FL9" s="930"/>
      <c r="FM9" s="930"/>
      <c r="FN9" s="930"/>
      <c r="FO9" s="930"/>
      <c r="FP9" s="930"/>
      <c r="FQ9" s="930"/>
      <c r="FR9" s="930"/>
      <c r="FS9" s="930"/>
      <c r="FT9" s="930"/>
      <c r="FU9" s="930"/>
      <c r="FV9" s="930"/>
      <c r="FW9" s="930"/>
      <c r="FX9" s="930"/>
      <c r="FY9" s="930"/>
      <c r="FZ9" s="930"/>
      <c r="GA9" s="930"/>
      <c r="GB9" s="930"/>
      <c r="GC9" s="930"/>
      <c r="GD9" s="930"/>
      <c r="GE9" s="930"/>
      <c r="GF9" s="930"/>
      <c r="GG9" s="930"/>
      <c r="GH9" s="930"/>
      <c r="GI9" s="930"/>
      <c r="GJ9" s="930"/>
      <c r="GK9" s="930"/>
      <c r="GL9" s="930"/>
      <c r="GM9" s="930"/>
      <c r="GN9" s="930"/>
      <c r="GO9" s="930"/>
      <c r="GP9" s="930"/>
      <c r="GQ9" s="930"/>
      <c r="GR9" s="930"/>
      <c r="GS9" s="930"/>
      <c r="GT9" s="930"/>
      <c r="GU9" s="930"/>
      <c r="GV9" s="930"/>
      <c r="GW9" s="930"/>
      <c r="GX9" s="930"/>
      <c r="GY9" s="930"/>
      <c r="GZ9" s="930"/>
      <c r="HA9" s="930"/>
      <c r="HB9" s="930"/>
      <c r="HC9" s="930"/>
      <c r="HD9" s="930"/>
      <c r="HE9" s="930"/>
      <c r="HF9" s="930"/>
      <c r="HG9" s="930"/>
      <c r="HH9" s="930"/>
      <c r="HI9" s="930"/>
      <c r="HJ9" s="930"/>
      <c r="HK9" s="930"/>
      <c r="HL9" s="930"/>
      <c r="HM9" s="930"/>
      <c r="HN9" s="930"/>
      <c r="HO9" s="930"/>
      <c r="HP9" s="930"/>
      <c r="HQ9" s="930"/>
      <c r="HR9" s="930"/>
      <c r="HS9" s="930"/>
      <c r="HT9" s="930"/>
      <c r="HU9" s="930"/>
      <c r="HV9" s="930"/>
      <c r="HW9" s="930"/>
      <c r="HX9" s="930"/>
      <c r="HY9" s="930"/>
      <c r="HZ9" s="930"/>
      <c r="IA9" s="930"/>
      <c r="IB9" s="930"/>
      <c r="IC9" s="930"/>
      <c r="ID9" s="930"/>
      <c r="IE9" s="930"/>
      <c r="IF9" s="930"/>
      <c r="IG9" s="930"/>
      <c r="IH9" s="930"/>
      <c r="II9" s="930"/>
      <c r="IJ9" s="930"/>
      <c r="IK9" s="930"/>
      <c r="IL9" s="930"/>
      <c r="IM9" s="930"/>
      <c r="IN9" s="930"/>
      <c r="IO9" s="930"/>
      <c r="IP9" s="930"/>
      <c r="IQ9" s="930"/>
      <c r="IR9" s="930"/>
      <c r="IS9" s="930"/>
      <c r="IT9" s="930"/>
      <c r="IU9" s="930"/>
      <c r="IV9" s="930"/>
    </row>
    <row r="10" spans="1:256">
      <c r="A10" s="933" t="s">
        <v>1114</v>
      </c>
      <c r="B10" s="932"/>
      <c r="C10" s="930"/>
      <c r="D10" s="932"/>
      <c r="E10" s="1569" t="s">
        <v>384</v>
      </c>
      <c r="F10" s="1569"/>
      <c r="G10" s="932"/>
      <c r="H10" s="932"/>
      <c r="I10" s="932"/>
      <c r="J10" s="930"/>
      <c r="K10" s="930"/>
      <c r="L10" s="930"/>
      <c r="M10" s="930"/>
      <c r="N10" s="930"/>
      <c r="O10" s="930"/>
      <c r="P10" s="930"/>
      <c r="Q10" s="930"/>
      <c r="R10" s="930"/>
      <c r="S10" s="930"/>
      <c r="T10" s="930"/>
      <c r="U10" s="930"/>
      <c r="V10" s="930"/>
      <c r="W10" s="930"/>
      <c r="X10" s="930"/>
      <c r="Y10" s="930"/>
      <c r="Z10" s="930"/>
      <c r="AA10" s="930"/>
      <c r="AB10" s="930"/>
      <c r="AC10" s="930"/>
      <c r="AD10" s="930"/>
      <c r="AE10" s="930"/>
      <c r="AF10" s="930"/>
      <c r="AG10" s="930"/>
      <c r="AH10" s="930"/>
      <c r="AI10" s="930"/>
      <c r="AJ10" s="930"/>
      <c r="AK10" s="930"/>
      <c r="AL10" s="930"/>
      <c r="AM10" s="930"/>
      <c r="AN10" s="930"/>
      <c r="AO10" s="930"/>
      <c r="AP10" s="930"/>
      <c r="AQ10" s="930"/>
      <c r="AR10" s="930"/>
      <c r="AS10" s="930"/>
      <c r="AT10" s="930"/>
      <c r="AU10" s="930"/>
      <c r="AV10" s="930"/>
      <c r="AW10" s="930"/>
      <c r="AX10" s="930"/>
      <c r="AY10" s="930"/>
      <c r="AZ10" s="930"/>
      <c r="BA10" s="930"/>
      <c r="BB10" s="930"/>
      <c r="BC10" s="930"/>
      <c r="BD10" s="930"/>
      <c r="BE10" s="930"/>
      <c r="BF10" s="930"/>
      <c r="BG10" s="930"/>
      <c r="BH10" s="930"/>
      <c r="BI10" s="930"/>
      <c r="BJ10" s="930"/>
      <c r="BK10" s="930"/>
      <c r="BL10" s="930"/>
      <c r="BM10" s="930"/>
      <c r="BN10" s="930"/>
      <c r="BO10" s="930"/>
      <c r="BP10" s="930"/>
      <c r="BQ10" s="930"/>
      <c r="BR10" s="930"/>
      <c r="BS10" s="930"/>
      <c r="BT10" s="930"/>
      <c r="BU10" s="930"/>
      <c r="BV10" s="930"/>
      <c r="BW10" s="930"/>
      <c r="BX10" s="930"/>
      <c r="BY10" s="930"/>
      <c r="BZ10" s="930"/>
      <c r="CA10" s="930"/>
      <c r="CB10" s="930"/>
      <c r="CC10" s="930"/>
      <c r="CD10" s="930"/>
      <c r="CE10" s="930"/>
      <c r="CF10" s="930"/>
      <c r="CG10" s="930"/>
      <c r="CH10" s="930"/>
      <c r="CI10" s="930"/>
      <c r="CJ10" s="930"/>
      <c r="CK10" s="930"/>
      <c r="CL10" s="930"/>
      <c r="CM10" s="930"/>
      <c r="CN10" s="930"/>
      <c r="CO10" s="930"/>
      <c r="CP10" s="930"/>
      <c r="CQ10" s="930"/>
      <c r="CR10" s="930"/>
      <c r="CS10" s="930"/>
      <c r="CT10" s="930"/>
      <c r="CU10" s="930"/>
      <c r="CV10" s="930"/>
      <c r="CW10" s="930"/>
      <c r="CX10" s="930"/>
      <c r="CY10" s="930"/>
      <c r="CZ10" s="930"/>
      <c r="DA10" s="930"/>
      <c r="DB10" s="930"/>
      <c r="DC10" s="930"/>
      <c r="DD10" s="930"/>
      <c r="DE10" s="930"/>
      <c r="DF10" s="930"/>
      <c r="DG10" s="930"/>
      <c r="DH10" s="930"/>
      <c r="DI10" s="930"/>
      <c r="DJ10" s="930"/>
      <c r="DK10" s="930"/>
      <c r="DL10" s="930"/>
      <c r="DM10" s="930"/>
      <c r="DN10" s="930"/>
      <c r="DO10" s="930"/>
      <c r="DP10" s="930"/>
      <c r="DQ10" s="930"/>
      <c r="DR10" s="930"/>
      <c r="DS10" s="930"/>
      <c r="DT10" s="930"/>
      <c r="DU10" s="930"/>
      <c r="DV10" s="930"/>
      <c r="DW10" s="930"/>
      <c r="DX10" s="930"/>
      <c r="DY10" s="930"/>
      <c r="DZ10" s="930"/>
      <c r="EA10" s="930"/>
      <c r="EB10" s="930"/>
      <c r="EC10" s="930"/>
      <c r="ED10" s="930"/>
      <c r="EE10" s="930"/>
      <c r="EF10" s="930"/>
      <c r="EG10" s="930"/>
      <c r="EH10" s="930"/>
      <c r="EI10" s="930"/>
      <c r="EJ10" s="930"/>
      <c r="EK10" s="930"/>
      <c r="EL10" s="930"/>
      <c r="EM10" s="930"/>
      <c r="EN10" s="930"/>
      <c r="EO10" s="930"/>
      <c r="EP10" s="930"/>
      <c r="EQ10" s="930"/>
      <c r="ER10" s="930"/>
      <c r="ES10" s="930"/>
      <c r="ET10" s="930"/>
      <c r="EU10" s="930"/>
      <c r="EV10" s="930"/>
      <c r="EW10" s="930"/>
      <c r="EX10" s="930"/>
      <c r="EY10" s="930"/>
      <c r="EZ10" s="930"/>
      <c r="FA10" s="930"/>
      <c r="FB10" s="930"/>
      <c r="FC10" s="930"/>
      <c r="FD10" s="930"/>
      <c r="FE10" s="930"/>
      <c r="FF10" s="930"/>
      <c r="FG10" s="930"/>
      <c r="FH10" s="930"/>
      <c r="FI10" s="930"/>
      <c r="FJ10" s="930"/>
      <c r="FK10" s="930"/>
      <c r="FL10" s="930"/>
      <c r="FM10" s="930"/>
      <c r="FN10" s="930"/>
      <c r="FO10" s="930"/>
      <c r="FP10" s="930"/>
      <c r="FQ10" s="930"/>
      <c r="FR10" s="930"/>
      <c r="FS10" s="930"/>
      <c r="FT10" s="930"/>
      <c r="FU10" s="930"/>
      <c r="FV10" s="930"/>
      <c r="FW10" s="930"/>
      <c r="FX10" s="930"/>
      <c r="FY10" s="930"/>
      <c r="FZ10" s="930"/>
      <c r="GA10" s="930"/>
      <c r="GB10" s="930"/>
      <c r="GC10" s="930"/>
      <c r="GD10" s="930"/>
      <c r="GE10" s="930"/>
      <c r="GF10" s="930"/>
      <c r="GG10" s="930"/>
      <c r="GH10" s="930"/>
      <c r="GI10" s="930"/>
      <c r="GJ10" s="930"/>
      <c r="GK10" s="930"/>
      <c r="GL10" s="930"/>
      <c r="GM10" s="930"/>
      <c r="GN10" s="930"/>
      <c r="GO10" s="930"/>
      <c r="GP10" s="930"/>
      <c r="GQ10" s="930"/>
      <c r="GR10" s="930"/>
      <c r="GS10" s="930"/>
      <c r="GT10" s="930"/>
      <c r="GU10" s="930"/>
      <c r="GV10" s="930"/>
      <c r="GW10" s="930"/>
      <c r="GX10" s="930"/>
      <c r="GY10" s="930"/>
      <c r="GZ10" s="930"/>
      <c r="HA10" s="930"/>
      <c r="HB10" s="930"/>
      <c r="HC10" s="930"/>
      <c r="HD10" s="930"/>
      <c r="HE10" s="930"/>
      <c r="HF10" s="930"/>
      <c r="HG10" s="930"/>
      <c r="HH10" s="930"/>
      <c r="HI10" s="930"/>
      <c r="HJ10" s="930"/>
      <c r="HK10" s="930"/>
      <c r="HL10" s="930"/>
      <c r="HM10" s="930"/>
      <c r="HN10" s="930"/>
      <c r="HO10" s="930"/>
      <c r="HP10" s="930"/>
      <c r="HQ10" s="930"/>
      <c r="HR10" s="930"/>
      <c r="HS10" s="930"/>
      <c r="HT10" s="930"/>
      <c r="HU10" s="930"/>
      <c r="HV10" s="930"/>
      <c r="HW10" s="930"/>
      <c r="HX10" s="930"/>
      <c r="HY10" s="930"/>
      <c r="HZ10" s="930"/>
      <c r="IA10" s="930"/>
      <c r="IB10" s="930"/>
      <c r="IC10" s="930"/>
      <c r="ID10" s="930"/>
      <c r="IE10" s="930"/>
      <c r="IF10" s="930"/>
      <c r="IG10" s="930"/>
      <c r="IH10" s="930"/>
      <c r="II10" s="930"/>
      <c r="IJ10" s="930"/>
      <c r="IK10" s="930"/>
      <c r="IL10" s="930"/>
      <c r="IM10" s="930"/>
      <c r="IN10" s="930"/>
      <c r="IO10" s="930"/>
      <c r="IP10" s="930"/>
      <c r="IQ10" s="930"/>
      <c r="IR10" s="930"/>
      <c r="IS10" s="930"/>
      <c r="IT10" s="930"/>
      <c r="IU10" s="930"/>
      <c r="IV10" s="930"/>
    </row>
    <row r="11" spans="1:256">
      <c r="A11" s="935">
        <v>1</v>
      </c>
      <c r="B11" s="936" t="s">
        <v>1468</v>
      </c>
      <c r="C11" s="936"/>
      <c r="D11" s="936"/>
      <c r="E11" s="936" t="s">
        <v>577</v>
      </c>
      <c r="F11" s="932"/>
      <c r="G11" s="930"/>
      <c r="H11" s="869">
        <f>+'PSO WS C-1 ADIT EOY'!H50</f>
        <v>-1018002788.5099999</v>
      </c>
      <c r="I11" s="932"/>
      <c r="J11" s="930"/>
      <c r="K11" s="930"/>
      <c r="L11" s="930"/>
      <c r="M11" s="930"/>
      <c r="N11" s="930"/>
      <c r="O11" s="930"/>
      <c r="P11" s="930"/>
      <c r="Q11" s="930"/>
      <c r="R11" s="930"/>
      <c r="S11" s="930"/>
      <c r="T11" s="930"/>
      <c r="U11" s="930"/>
      <c r="V11" s="930"/>
      <c r="W11" s="930"/>
      <c r="X11" s="930"/>
      <c r="Y11" s="930"/>
      <c r="Z11" s="930"/>
      <c r="AA11" s="930"/>
      <c r="AB11" s="930"/>
      <c r="AC11" s="930"/>
      <c r="AD11" s="930"/>
      <c r="AE11" s="930"/>
      <c r="AF11" s="930"/>
      <c r="AG11" s="930"/>
      <c r="AH11" s="930"/>
      <c r="AI11" s="930"/>
      <c r="AJ11" s="930"/>
      <c r="AK11" s="930"/>
      <c r="AL11" s="930"/>
      <c r="AM11" s="930"/>
      <c r="AN11" s="930"/>
      <c r="AO11" s="930"/>
      <c r="AP11" s="930"/>
      <c r="AQ11" s="930"/>
      <c r="AR11" s="930"/>
      <c r="AS11" s="930"/>
      <c r="AT11" s="930"/>
      <c r="AU11" s="930"/>
      <c r="AV11" s="930"/>
      <c r="AW11" s="930"/>
      <c r="AX11" s="930"/>
      <c r="AY11" s="930"/>
      <c r="AZ11" s="930"/>
      <c r="BA11" s="930"/>
      <c r="BB11" s="930"/>
      <c r="BC11" s="930"/>
      <c r="BD11" s="930"/>
      <c r="BE11" s="930"/>
      <c r="BF11" s="930"/>
      <c r="BG11" s="930"/>
      <c r="BH11" s="930"/>
      <c r="BI11" s="930"/>
      <c r="BJ11" s="930"/>
      <c r="BK11" s="930"/>
      <c r="BL11" s="930"/>
      <c r="BM11" s="930"/>
      <c r="BN11" s="930"/>
      <c r="BO11" s="930"/>
      <c r="BP11" s="930"/>
      <c r="BQ11" s="930"/>
      <c r="BR11" s="930"/>
      <c r="BS11" s="930"/>
      <c r="BT11" s="930"/>
      <c r="BU11" s="930"/>
      <c r="BV11" s="930"/>
      <c r="BW11" s="930"/>
      <c r="BX11" s="930"/>
      <c r="BY11" s="930"/>
      <c r="BZ11" s="930"/>
      <c r="CA11" s="930"/>
      <c r="CB11" s="930"/>
      <c r="CC11" s="930"/>
      <c r="CD11" s="930"/>
      <c r="CE11" s="930"/>
      <c r="CF11" s="930"/>
      <c r="CG11" s="930"/>
      <c r="CH11" s="930"/>
      <c r="CI11" s="930"/>
      <c r="CJ11" s="930"/>
      <c r="CK11" s="930"/>
      <c r="CL11" s="930"/>
      <c r="CM11" s="930"/>
      <c r="CN11" s="930"/>
      <c r="CO11" s="930"/>
      <c r="CP11" s="930"/>
      <c r="CQ11" s="930"/>
      <c r="CR11" s="930"/>
      <c r="CS11" s="930"/>
      <c r="CT11" s="930"/>
      <c r="CU11" s="930"/>
      <c r="CV11" s="930"/>
      <c r="CW11" s="930"/>
      <c r="CX11" s="930"/>
      <c r="CY11" s="930"/>
      <c r="CZ11" s="930"/>
      <c r="DA11" s="930"/>
      <c r="DB11" s="930"/>
      <c r="DC11" s="930"/>
      <c r="DD11" s="930"/>
      <c r="DE11" s="930"/>
      <c r="DF11" s="930"/>
      <c r="DG11" s="930"/>
      <c r="DH11" s="930"/>
      <c r="DI11" s="930"/>
      <c r="DJ11" s="930"/>
      <c r="DK11" s="930"/>
      <c r="DL11" s="930"/>
      <c r="DM11" s="930"/>
      <c r="DN11" s="930"/>
      <c r="DO11" s="930"/>
      <c r="DP11" s="930"/>
      <c r="DQ11" s="930"/>
      <c r="DR11" s="930"/>
      <c r="DS11" s="930"/>
      <c r="DT11" s="930"/>
      <c r="DU11" s="930"/>
      <c r="DV11" s="930"/>
      <c r="DW11" s="930"/>
      <c r="DX11" s="930"/>
      <c r="DY11" s="930"/>
      <c r="DZ11" s="930"/>
      <c r="EA11" s="930"/>
      <c r="EB11" s="930"/>
      <c r="EC11" s="930"/>
      <c r="ED11" s="930"/>
      <c r="EE11" s="930"/>
      <c r="EF11" s="930"/>
      <c r="EG11" s="930"/>
      <c r="EH11" s="930"/>
      <c r="EI11" s="930"/>
      <c r="EJ11" s="930"/>
      <c r="EK11" s="930"/>
      <c r="EL11" s="930"/>
      <c r="EM11" s="930"/>
      <c r="EN11" s="930"/>
      <c r="EO11" s="930"/>
      <c r="EP11" s="930"/>
      <c r="EQ11" s="930"/>
      <c r="ER11" s="930"/>
      <c r="ES11" s="930"/>
      <c r="ET11" s="930"/>
      <c r="EU11" s="930"/>
      <c r="EV11" s="930"/>
      <c r="EW11" s="930"/>
      <c r="EX11" s="930"/>
      <c r="EY11" s="930"/>
      <c r="EZ11" s="930"/>
      <c r="FA11" s="930"/>
      <c r="FB11" s="930"/>
      <c r="FC11" s="930"/>
      <c r="FD11" s="930"/>
      <c r="FE11" s="930"/>
      <c r="FF11" s="930"/>
      <c r="FG11" s="930"/>
      <c r="FH11" s="930"/>
      <c r="FI11" s="930"/>
      <c r="FJ11" s="930"/>
      <c r="FK11" s="930"/>
      <c r="FL11" s="930"/>
      <c r="FM11" s="930"/>
      <c r="FN11" s="930"/>
      <c r="FO11" s="930"/>
      <c r="FP11" s="930"/>
      <c r="FQ11" s="930"/>
      <c r="FR11" s="930"/>
      <c r="FS11" s="930"/>
      <c r="FT11" s="930"/>
      <c r="FU11" s="930"/>
      <c r="FV11" s="930"/>
      <c r="FW11" s="930"/>
      <c r="FX11" s="930"/>
      <c r="FY11" s="930"/>
      <c r="FZ11" s="930"/>
      <c r="GA11" s="930"/>
      <c r="GB11" s="930"/>
      <c r="GC11" s="930"/>
      <c r="GD11" s="930"/>
      <c r="GE11" s="930"/>
      <c r="GF11" s="930"/>
      <c r="GG11" s="930"/>
      <c r="GH11" s="930"/>
      <c r="GI11" s="930"/>
      <c r="GJ11" s="930"/>
      <c r="GK11" s="930"/>
      <c r="GL11" s="930"/>
      <c r="GM11" s="930"/>
      <c r="GN11" s="930"/>
      <c r="GO11" s="930"/>
      <c r="GP11" s="930"/>
      <c r="GQ11" s="930"/>
      <c r="GR11" s="930"/>
      <c r="GS11" s="930"/>
      <c r="GT11" s="930"/>
      <c r="GU11" s="930"/>
      <c r="GV11" s="930"/>
      <c r="GW11" s="930"/>
      <c r="GX11" s="930"/>
      <c r="GY11" s="930"/>
      <c r="GZ11" s="930"/>
      <c r="HA11" s="930"/>
      <c r="HB11" s="930"/>
      <c r="HC11" s="930"/>
      <c r="HD11" s="930"/>
      <c r="HE11" s="930"/>
      <c r="HF11" s="930"/>
      <c r="HG11" s="930"/>
      <c r="HH11" s="930"/>
      <c r="HI11" s="930"/>
      <c r="HJ11" s="930"/>
      <c r="HK11" s="930"/>
      <c r="HL11" s="930"/>
      <c r="HM11" s="930"/>
      <c r="HN11" s="930"/>
      <c r="HO11" s="930"/>
      <c r="HP11" s="930"/>
      <c r="HQ11" s="930"/>
      <c r="HR11" s="930"/>
      <c r="HS11" s="930"/>
      <c r="HT11" s="930"/>
      <c r="HU11" s="930"/>
      <c r="HV11" s="930"/>
      <c r="HW11" s="930"/>
      <c r="HX11" s="930"/>
      <c r="HY11" s="930"/>
      <c r="HZ11" s="930"/>
      <c r="IA11" s="930"/>
      <c r="IB11" s="930"/>
      <c r="IC11" s="930"/>
      <c r="ID11" s="930"/>
      <c r="IE11" s="930"/>
      <c r="IF11" s="930"/>
      <c r="IG11" s="930"/>
      <c r="IH11" s="930"/>
      <c r="II11" s="930"/>
      <c r="IJ11" s="930"/>
      <c r="IK11" s="930"/>
      <c r="IL11" s="930"/>
      <c r="IM11" s="930"/>
      <c r="IN11" s="930"/>
      <c r="IO11" s="930"/>
      <c r="IP11" s="930"/>
      <c r="IQ11" s="930"/>
      <c r="IR11" s="930"/>
      <c r="IS11" s="930"/>
      <c r="IT11" s="930"/>
      <c r="IU11" s="930"/>
      <c r="IV11" s="930"/>
    </row>
    <row r="12" spans="1:256">
      <c r="A12" s="935">
        <f>+A11+1</f>
        <v>2</v>
      </c>
      <c r="B12" s="936" t="s">
        <v>1469</v>
      </c>
      <c r="C12" s="936"/>
      <c r="D12" s="936"/>
      <c r="E12" s="936" t="s">
        <v>578</v>
      </c>
      <c r="F12" s="932"/>
      <c r="G12" s="930"/>
      <c r="H12" s="869">
        <f>+'PSO WS C-2 ADIT BOY'!H49</f>
        <v>-1012368993.5099999</v>
      </c>
      <c r="I12" s="932"/>
      <c r="J12" s="930"/>
      <c r="K12" s="930"/>
      <c r="L12" s="930"/>
      <c r="M12" s="930"/>
      <c r="N12" s="930"/>
      <c r="O12" s="930"/>
      <c r="P12" s="930"/>
      <c r="Q12" s="930"/>
      <c r="R12" s="930"/>
      <c r="S12" s="930"/>
      <c r="T12" s="930"/>
      <c r="U12" s="930"/>
      <c r="V12" s="930"/>
      <c r="W12" s="930"/>
      <c r="X12" s="930"/>
      <c r="Y12" s="930"/>
      <c r="Z12" s="930"/>
      <c r="AA12" s="930"/>
      <c r="AB12" s="930"/>
      <c r="AC12" s="930"/>
      <c r="AD12" s="930"/>
      <c r="AE12" s="930"/>
      <c r="AF12" s="930"/>
      <c r="AG12" s="930"/>
      <c r="AH12" s="930"/>
      <c r="AI12" s="930"/>
      <c r="AJ12" s="930"/>
      <c r="AK12" s="930"/>
      <c r="AL12" s="930"/>
      <c r="AM12" s="930"/>
      <c r="AN12" s="930"/>
      <c r="AO12" s="930"/>
      <c r="AP12" s="930"/>
      <c r="AQ12" s="930"/>
      <c r="AR12" s="930"/>
      <c r="AS12" s="930"/>
      <c r="AT12" s="930"/>
      <c r="AU12" s="930"/>
      <c r="AV12" s="930"/>
      <c r="AW12" s="930"/>
      <c r="AX12" s="930"/>
      <c r="AY12" s="930"/>
      <c r="AZ12" s="930"/>
      <c r="BA12" s="930"/>
      <c r="BB12" s="930"/>
      <c r="BC12" s="930"/>
      <c r="BD12" s="930"/>
      <c r="BE12" s="930"/>
      <c r="BF12" s="930"/>
      <c r="BG12" s="930"/>
      <c r="BH12" s="930"/>
      <c r="BI12" s="930"/>
      <c r="BJ12" s="930"/>
      <c r="BK12" s="930"/>
      <c r="BL12" s="930"/>
      <c r="BM12" s="930"/>
      <c r="BN12" s="930"/>
      <c r="BO12" s="930"/>
      <c r="BP12" s="930"/>
      <c r="BQ12" s="930"/>
      <c r="BR12" s="930"/>
      <c r="BS12" s="930"/>
      <c r="BT12" s="930"/>
      <c r="BU12" s="930"/>
      <c r="BV12" s="930"/>
      <c r="BW12" s="930"/>
      <c r="BX12" s="930"/>
      <c r="BY12" s="930"/>
      <c r="BZ12" s="930"/>
      <c r="CA12" s="930"/>
      <c r="CB12" s="930"/>
      <c r="CC12" s="930"/>
      <c r="CD12" s="930"/>
      <c r="CE12" s="930"/>
      <c r="CF12" s="930"/>
      <c r="CG12" s="930"/>
      <c r="CH12" s="930"/>
      <c r="CI12" s="930"/>
      <c r="CJ12" s="930"/>
      <c r="CK12" s="930"/>
      <c r="CL12" s="930"/>
      <c r="CM12" s="930"/>
      <c r="CN12" s="930"/>
      <c r="CO12" s="930"/>
      <c r="CP12" s="930"/>
      <c r="CQ12" s="930"/>
      <c r="CR12" s="930"/>
      <c r="CS12" s="930"/>
      <c r="CT12" s="930"/>
      <c r="CU12" s="930"/>
      <c r="CV12" s="930"/>
      <c r="CW12" s="930"/>
      <c r="CX12" s="930"/>
      <c r="CY12" s="930"/>
      <c r="CZ12" s="930"/>
      <c r="DA12" s="930"/>
      <c r="DB12" s="930"/>
      <c r="DC12" s="930"/>
      <c r="DD12" s="930"/>
      <c r="DE12" s="930"/>
      <c r="DF12" s="930"/>
      <c r="DG12" s="930"/>
      <c r="DH12" s="930"/>
      <c r="DI12" s="930"/>
      <c r="DJ12" s="930"/>
      <c r="DK12" s="930"/>
      <c r="DL12" s="930"/>
      <c r="DM12" s="930"/>
      <c r="DN12" s="930"/>
      <c r="DO12" s="930"/>
      <c r="DP12" s="930"/>
      <c r="DQ12" s="930"/>
      <c r="DR12" s="930"/>
      <c r="DS12" s="930"/>
      <c r="DT12" s="930"/>
      <c r="DU12" s="930"/>
      <c r="DV12" s="930"/>
      <c r="DW12" s="930"/>
      <c r="DX12" s="930"/>
      <c r="DY12" s="930"/>
      <c r="DZ12" s="930"/>
      <c r="EA12" s="930"/>
      <c r="EB12" s="930"/>
      <c r="EC12" s="930"/>
      <c r="ED12" s="930"/>
      <c r="EE12" s="930"/>
      <c r="EF12" s="930"/>
      <c r="EG12" s="930"/>
      <c r="EH12" s="930"/>
      <c r="EI12" s="930"/>
      <c r="EJ12" s="930"/>
      <c r="EK12" s="930"/>
      <c r="EL12" s="930"/>
      <c r="EM12" s="930"/>
      <c r="EN12" s="930"/>
      <c r="EO12" s="930"/>
      <c r="EP12" s="930"/>
      <c r="EQ12" s="930"/>
      <c r="ER12" s="930"/>
      <c r="ES12" s="930"/>
      <c r="ET12" s="930"/>
      <c r="EU12" s="930"/>
      <c r="EV12" s="930"/>
      <c r="EW12" s="930"/>
      <c r="EX12" s="930"/>
      <c r="EY12" s="930"/>
      <c r="EZ12" s="930"/>
      <c r="FA12" s="930"/>
      <c r="FB12" s="930"/>
      <c r="FC12" s="930"/>
      <c r="FD12" s="930"/>
      <c r="FE12" s="930"/>
      <c r="FF12" s="930"/>
      <c r="FG12" s="930"/>
      <c r="FH12" s="930"/>
      <c r="FI12" s="930"/>
      <c r="FJ12" s="930"/>
      <c r="FK12" s="930"/>
      <c r="FL12" s="930"/>
      <c r="FM12" s="930"/>
      <c r="FN12" s="930"/>
      <c r="FO12" s="930"/>
      <c r="FP12" s="930"/>
      <c r="FQ12" s="930"/>
      <c r="FR12" s="930"/>
      <c r="FS12" s="930"/>
      <c r="FT12" s="930"/>
      <c r="FU12" s="930"/>
      <c r="FV12" s="930"/>
      <c r="FW12" s="930"/>
      <c r="FX12" s="930"/>
      <c r="FY12" s="930"/>
      <c r="FZ12" s="930"/>
      <c r="GA12" s="930"/>
      <c r="GB12" s="930"/>
      <c r="GC12" s="930"/>
      <c r="GD12" s="930"/>
      <c r="GE12" s="930"/>
      <c r="GF12" s="930"/>
      <c r="GG12" s="930"/>
      <c r="GH12" s="930"/>
      <c r="GI12" s="930"/>
      <c r="GJ12" s="930"/>
      <c r="GK12" s="930"/>
      <c r="GL12" s="930"/>
      <c r="GM12" s="930"/>
      <c r="GN12" s="930"/>
      <c r="GO12" s="930"/>
      <c r="GP12" s="930"/>
      <c r="GQ12" s="930"/>
      <c r="GR12" s="930"/>
      <c r="GS12" s="930"/>
      <c r="GT12" s="930"/>
      <c r="GU12" s="930"/>
      <c r="GV12" s="930"/>
      <c r="GW12" s="930"/>
      <c r="GX12" s="930"/>
      <c r="GY12" s="930"/>
      <c r="GZ12" s="930"/>
      <c r="HA12" s="930"/>
      <c r="HB12" s="930"/>
      <c r="HC12" s="930"/>
      <c r="HD12" s="930"/>
      <c r="HE12" s="930"/>
      <c r="HF12" s="930"/>
      <c r="HG12" s="930"/>
      <c r="HH12" s="930"/>
      <c r="HI12" s="930"/>
      <c r="HJ12" s="930"/>
      <c r="HK12" s="930"/>
      <c r="HL12" s="930"/>
      <c r="HM12" s="930"/>
      <c r="HN12" s="930"/>
      <c r="HO12" s="930"/>
      <c r="HP12" s="930"/>
      <c r="HQ12" s="930"/>
      <c r="HR12" s="930"/>
      <c r="HS12" s="930"/>
      <c r="HT12" s="930"/>
      <c r="HU12" s="930"/>
      <c r="HV12" s="930"/>
      <c r="HW12" s="930"/>
      <c r="HX12" s="930"/>
      <c r="HY12" s="930"/>
      <c r="HZ12" s="930"/>
      <c r="IA12" s="930"/>
      <c r="IB12" s="930"/>
      <c r="IC12" s="930"/>
      <c r="ID12" s="930"/>
      <c r="IE12" s="930"/>
      <c r="IF12" s="930"/>
      <c r="IG12" s="930"/>
      <c r="IH12" s="930"/>
      <c r="II12" s="930"/>
      <c r="IJ12" s="930"/>
      <c r="IK12" s="930"/>
      <c r="IL12" s="930"/>
      <c r="IM12" s="930"/>
      <c r="IN12" s="930"/>
      <c r="IO12" s="930"/>
      <c r="IP12" s="930"/>
      <c r="IQ12" s="930"/>
      <c r="IR12" s="930"/>
      <c r="IS12" s="930"/>
      <c r="IT12" s="930"/>
      <c r="IU12" s="930"/>
      <c r="IV12" s="930"/>
    </row>
    <row r="13" spans="1:256">
      <c r="A13" s="935">
        <f>+A12+1</f>
        <v>3</v>
      </c>
      <c r="B13" s="936" t="s">
        <v>561</v>
      </c>
      <c r="C13" s="936"/>
      <c r="D13" s="936"/>
      <c r="E13" s="936" t="str">
        <f>"Line "&amp;A11&amp;" less Line "&amp;A12</f>
        <v>Line 1 less Line 2</v>
      </c>
      <c r="F13" s="932"/>
      <c r="G13" s="930"/>
      <c r="H13" s="937">
        <f>+H11-H12</f>
        <v>-5633795</v>
      </c>
      <c r="I13" s="932"/>
      <c r="J13" s="930"/>
      <c r="K13" s="930"/>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30"/>
      <c r="AK13" s="930"/>
      <c r="AL13" s="930"/>
      <c r="AM13" s="930"/>
      <c r="AN13" s="930"/>
      <c r="AO13" s="930"/>
      <c r="AP13" s="930"/>
      <c r="AQ13" s="930"/>
      <c r="AR13" s="930"/>
      <c r="AS13" s="930"/>
      <c r="AT13" s="930"/>
      <c r="AU13" s="930"/>
      <c r="AV13" s="930"/>
      <c r="AW13" s="930"/>
      <c r="AX13" s="930"/>
      <c r="AY13" s="930"/>
      <c r="AZ13" s="930"/>
      <c r="BA13" s="930"/>
      <c r="BB13" s="930"/>
      <c r="BC13" s="930"/>
      <c r="BD13" s="930"/>
      <c r="BE13" s="930"/>
      <c r="BF13" s="930"/>
      <c r="BG13" s="930"/>
      <c r="BH13" s="930"/>
      <c r="BI13" s="930"/>
      <c r="BJ13" s="930"/>
      <c r="BK13" s="930"/>
      <c r="BL13" s="930"/>
      <c r="BM13" s="930"/>
      <c r="BN13" s="930"/>
      <c r="BO13" s="930"/>
      <c r="BP13" s="930"/>
      <c r="BQ13" s="930"/>
      <c r="BR13" s="930"/>
      <c r="BS13" s="930"/>
      <c r="BT13" s="930"/>
      <c r="BU13" s="930"/>
      <c r="BV13" s="930"/>
      <c r="BW13" s="930"/>
      <c r="BX13" s="930"/>
      <c r="BY13" s="930"/>
      <c r="BZ13" s="930"/>
      <c r="CA13" s="930"/>
      <c r="CB13" s="930"/>
      <c r="CC13" s="930"/>
      <c r="CD13" s="930"/>
      <c r="CE13" s="930"/>
      <c r="CF13" s="930"/>
      <c r="CG13" s="930"/>
      <c r="CH13" s="930"/>
      <c r="CI13" s="930"/>
      <c r="CJ13" s="930"/>
      <c r="CK13" s="930"/>
      <c r="CL13" s="930"/>
      <c r="CM13" s="930"/>
      <c r="CN13" s="930"/>
      <c r="CO13" s="930"/>
      <c r="CP13" s="930"/>
      <c r="CQ13" s="930"/>
      <c r="CR13" s="930"/>
      <c r="CS13" s="930"/>
      <c r="CT13" s="930"/>
      <c r="CU13" s="930"/>
      <c r="CV13" s="930"/>
      <c r="CW13" s="930"/>
      <c r="CX13" s="930"/>
      <c r="CY13" s="930"/>
      <c r="CZ13" s="930"/>
      <c r="DA13" s="930"/>
      <c r="DB13" s="930"/>
      <c r="DC13" s="930"/>
      <c r="DD13" s="930"/>
      <c r="DE13" s="930"/>
      <c r="DF13" s="930"/>
      <c r="DG13" s="930"/>
      <c r="DH13" s="930"/>
      <c r="DI13" s="930"/>
      <c r="DJ13" s="930"/>
      <c r="DK13" s="930"/>
      <c r="DL13" s="930"/>
      <c r="DM13" s="930"/>
      <c r="DN13" s="930"/>
      <c r="DO13" s="930"/>
      <c r="DP13" s="930"/>
      <c r="DQ13" s="930"/>
      <c r="DR13" s="930"/>
      <c r="DS13" s="930"/>
      <c r="DT13" s="930"/>
      <c r="DU13" s="930"/>
      <c r="DV13" s="930"/>
      <c r="DW13" s="930"/>
      <c r="DX13" s="930"/>
      <c r="DY13" s="930"/>
      <c r="DZ13" s="930"/>
      <c r="EA13" s="930"/>
      <c r="EB13" s="930"/>
      <c r="EC13" s="930"/>
      <c r="ED13" s="930"/>
      <c r="EE13" s="930"/>
      <c r="EF13" s="930"/>
      <c r="EG13" s="930"/>
      <c r="EH13" s="930"/>
      <c r="EI13" s="930"/>
      <c r="EJ13" s="930"/>
      <c r="EK13" s="930"/>
      <c r="EL13" s="930"/>
      <c r="EM13" s="930"/>
      <c r="EN13" s="930"/>
      <c r="EO13" s="930"/>
      <c r="EP13" s="930"/>
      <c r="EQ13" s="930"/>
      <c r="ER13" s="930"/>
      <c r="ES13" s="930"/>
      <c r="ET13" s="930"/>
      <c r="EU13" s="930"/>
      <c r="EV13" s="930"/>
      <c r="EW13" s="930"/>
      <c r="EX13" s="930"/>
      <c r="EY13" s="930"/>
      <c r="EZ13" s="930"/>
      <c r="FA13" s="930"/>
      <c r="FB13" s="930"/>
      <c r="FC13" s="930"/>
      <c r="FD13" s="930"/>
      <c r="FE13" s="930"/>
      <c r="FF13" s="930"/>
      <c r="FG13" s="930"/>
      <c r="FH13" s="930"/>
      <c r="FI13" s="930"/>
      <c r="FJ13" s="930"/>
      <c r="FK13" s="930"/>
      <c r="FL13" s="930"/>
      <c r="FM13" s="930"/>
      <c r="FN13" s="930"/>
      <c r="FO13" s="930"/>
      <c r="FP13" s="930"/>
      <c r="FQ13" s="930"/>
      <c r="FR13" s="930"/>
      <c r="FS13" s="930"/>
      <c r="FT13" s="930"/>
      <c r="FU13" s="930"/>
      <c r="FV13" s="930"/>
      <c r="FW13" s="930"/>
      <c r="FX13" s="930"/>
      <c r="FY13" s="930"/>
      <c r="FZ13" s="930"/>
      <c r="GA13" s="930"/>
      <c r="GB13" s="930"/>
      <c r="GC13" s="930"/>
      <c r="GD13" s="930"/>
      <c r="GE13" s="930"/>
      <c r="GF13" s="930"/>
      <c r="GG13" s="930"/>
      <c r="GH13" s="930"/>
      <c r="GI13" s="930"/>
      <c r="GJ13" s="930"/>
      <c r="GK13" s="930"/>
      <c r="GL13" s="930"/>
      <c r="GM13" s="930"/>
      <c r="GN13" s="930"/>
      <c r="GO13" s="930"/>
      <c r="GP13" s="930"/>
      <c r="GQ13" s="930"/>
      <c r="GR13" s="930"/>
      <c r="GS13" s="930"/>
      <c r="GT13" s="930"/>
      <c r="GU13" s="930"/>
      <c r="GV13" s="930"/>
      <c r="GW13" s="930"/>
      <c r="GX13" s="930"/>
      <c r="GY13" s="930"/>
      <c r="GZ13" s="930"/>
      <c r="HA13" s="930"/>
      <c r="HB13" s="930"/>
      <c r="HC13" s="930"/>
      <c r="HD13" s="930"/>
      <c r="HE13" s="930"/>
      <c r="HF13" s="930"/>
      <c r="HG13" s="930"/>
      <c r="HH13" s="930"/>
      <c r="HI13" s="930"/>
      <c r="HJ13" s="930"/>
      <c r="HK13" s="930"/>
      <c r="HL13" s="930"/>
      <c r="HM13" s="930"/>
      <c r="HN13" s="930"/>
      <c r="HO13" s="930"/>
      <c r="HP13" s="930"/>
      <c r="HQ13" s="930"/>
      <c r="HR13" s="930"/>
      <c r="HS13" s="930"/>
      <c r="HT13" s="930"/>
      <c r="HU13" s="930"/>
      <c r="HV13" s="930"/>
      <c r="HW13" s="930"/>
      <c r="HX13" s="930"/>
      <c r="HY13" s="930"/>
      <c r="HZ13" s="930"/>
      <c r="IA13" s="930"/>
      <c r="IB13" s="930"/>
      <c r="IC13" s="930"/>
      <c r="ID13" s="930"/>
      <c r="IE13" s="930"/>
      <c r="IF13" s="930"/>
      <c r="IG13" s="930"/>
      <c r="IH13" s="930"/>
      <c r="II13" s="930"/>
      <c r="IJ13" s="930"/>
      <c r="IK13" s="930"/>
      <c r="IL13" s="930"/>
      <c r="IM13" s="930"/>
      <c r="IN13" s="930"/>
      <c r="IO13" s="930"/>
      <c r="IP13" s="930"/>
      <c r="IQ13" s="930"/>
      <c r="IR13" s="930"/>
      <c r="IS13" s="930"/>
      <c r="IT13" s="930"/>
      <c r="IU13" s="930"/>
      <c r="IV13" s="930"/>
    </row>
    <row r="14" spans="1:256">
      <c r="A14" s="935">
        <f>+A13+1</f>
        <v>4</v>
      </c>
      <c r="B14" s="936" t="s">
        <v>562</v>
      </c>
      <c r="C14" s="936"/>
      <c r="D14" s="936"/>
      <c r="E14" s="936" t="str">
        <f>"Line "&amp;A13&amp;" / 12"</f>
        <v>Line 3 / 12</v>
      </c>
      <c r="F14" s="932"/>
      <c r="G14" s="930"/>
      <c r="H14" s="938">
        <f>+H13/12</f>
        <v>-469482.91666666669</v>
      </c>
      <c r="I14" s="932"/>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0"/>
      <c r="AY14" s="930"/>
      <c r="AZ14" s="930"/>
      <c r="BA14" s="930"/>
      <c r="BB14" s="930"/>
      <c r="BC14" s="930"/>
      <c r="BD14" s="930"/>
      <c r="BE14" s="930"/>
      <c r="BF14" s="930"/>
      <c r="BG14" s="930"/>
      <c r="BH14" s="930"/>
      <c r="BI14" s="930"/>
      <c r="BJ14" s="930"/>
      <c r="BK14" s="930"/>
      <c r="BL14" s="930"/>
      <c r="BM14" s="930"/>
      <c r="BN14" s="930"/>
      <c r="BO14" s="930"/>
      <c r="BP14" s="930"/>
      <c r="BQ14" s="930"/>
      <c r="BR14" s="930"/>
      <c r="BS14" s="930"/>
      <c r="BT14" s="930"/>
      <c r="BU14" s="930"/>
      <c r="BV14" s="930"/>
      <c r="BW14" s="930"/>
      <c r="BX14" s="930"/>
      <c r="BY14" s="930"/>
      <c r="BZ14" s="930"/>
      <c r="CA14" s="930"/>
      <c r="CB14" s="930"/>
      <c r="CC14" s="930"/>
      <c r="CD14" s="930"/>
      <c r="CE14" s="930"/>
      <c r="CF14" s="930"/>
      <c r="CG14" s="930"/>
      <c r="CH14" s="930"/>
      <c r="CI14" s="930"/>
      <c r="CJ14" s="930"/>
      <c r="CK14" s="930"/>
      <c r="CL14" s="930"/>
      <c r="CM14" s="930"/>
      <c r="CN14" s="930"/>
      <c r="CO14" s="930"/>
      <c r="CP14" s="930"/>
      <c r="CQ14" s="930"/>
      <c r="CR14" s="930"/>
      <c r="CS14" s="930"/>
      <c r="CT14" s="930"/>
      <c r="CU14" s="930"/>
      <c r="CV14" s="930"/>
      <c r="CW14" s="930"/>
      <c r="CX14" s="930"/>
      <c r="CY14" s="930"/>
      <c r="CZ14" s="930"/>
      <c r="DA14" s="930"/>
      <c r="DB14" s="930"/>
      <c r="DC14" s="930"/>
      <c r="DD14" s="930"/>
      <c r="DE14" s="930"/>
      <c r="DF14" s="930"/>
      <c r="DG14" s="930"/>
      <c r="DH14" s="930"/>
      <c r="DI14" s="930"/>
      <c r="DJ14" s="930"/>
      <c r="DK14" s="930"/>
      <c r="DL14" s="930"/>
      <c r="DM14" s="930"/>
      <c r="DN14" s="930"/>
      <c r="DO14" s="930"/>
      <c r="DP14" s="930"/>
      <c r="DQ14" s="930"/>
      <c r="DR14" s="930"/>
      <c r="DS14" s="930"/>
      <c r="DT14" s="930"/>
      <c r="DU14" s="930"/>
      <c r="DV14" s="930"/>
      <c r="DW14" s="930"/>
      <c r="DX14" s="930"/>
      <c r="DY14" s="930"/>
      <c r="DZ14" s="930"/>
      <c r="EA14" s="930"/>
      <c r="EB14" s="930"/>
      <c r="EC14" s="930"/>
      <c r="ED14" s="930"/>
      <c r="EE14" s="930"/>
      <c r="EF14" s="930"/>
      <c r="EG14" s="930"/>
      <c r="EH14" s="930"/>
      <c r="EI14" s="930"/>
      <c r="EJ14" s="930"/>
      <c r="EK14" s="930"/>
      <c r="EL14" s="930"/>
      <c r="EM14" s="930"/>
      <c r="EN14" s="930"/>
      <c r="EO14" s="930"/>
      <c r="EP14" s="930"/>
      <c r="EQ14" s="930"/>
      <c r="ER14" s="930"/>
      <c r="ES14" s="930"/>
      <c r="ET14" s="930"/>
      <c r="EU14" s="930"/>
      <c r="EV14" s="930"/>
      <c r="EW14" s="930"/>
      <c r="EX14" s="930"/>
      <c r="EY14" s="930"/>
      <c r="EZ14" s="930"/>
      <c r="FA14" s="930"/>
      <c r="FB14" s="930"/>
      <c r="FC14" s="930"/>
      <c r="FD14" s="930"/>
      <c r="FE14" s="930"/>
      <c r="FF14" s="930"/>
      <c r="FG14" s="930"/>
      <c r="FH14" s="930"/>
      <c r="FI14" s="930"/>
      <c r="FJ14" s="930"/>
      <c r="FK14" s="930"/>
      <c r="FL14" s="930"/>
      <c r="FM14" s="930"/>
      <c r="FN14" s="930"/>
      <c r="FO14" s="930"/>
      <c r="FP14" s="930"/>
      <c r="FQ14" s="930"/>
      <c r="FR14" s="930"/>
      <c r="FS14" s="930"/>
      <c r="FT14" s="930"/>
      <c r="FU14" s="930"/>
      <c r="FV14" s="930"/>
      <c r="FW14" s="930"/>
      <c r="FX14" s="930"/>
      <c r="FY14" s="930"/>
      <c r="FZ14" s="930"/>
      <c r="GA14" s="930"/>
      <c r="GB14" s="930"/>
      <c r="GC14" s="930"/>
      <c r="GD14" s="930"/>
      <c r="GE14" s="930"/>
      <c r="GF14" s="930"/>
      <c r="GG14" s="930"/>
      <c r="GH14" s="930"/>
      <c r="GI14" s="930"/>
      <c r="GJ14" s="930"/>
      <c r="GK14" s="930"/>
      <c r="GL14" s="930"/>
      <c r="GM14" s="930"/>
      <c r="GN14" s="930"/>
      <c r="GO14" s="930"/>
      <c r="GP14" s="930"/>
      <c r="GQ14" s="930"/>
      <c r="GR14" s="930"/>
      <c r="GS14" s="930"/>
      <c r="GT14" s="930"/>
      <c r="GU14" s="930"/>
      <c r="GV14" s="930"/>
      <c r="GW14" s="930"/>
      <c r="GX14" s="930"/>
      <c r="GY14" s="930"/>
      <c r="GZ14" s="930"/>
      <c r="HA14" s="930"/>
      <c r="HB14" s="930"/>
      <c r="HC14" s="930"/>
      <c r="HD14" s="930"/>
      <c r="HE14" s="930"/>
      <c r="HF14" s="930"/>
      <c r="HG14" s="930"/>
      <c r="HH14" s="930"/>
      <c r="HI14" s="930"/>
      <c r="HJ14" s="930"/>
      <c r="HK14" s="930"/>
      <c r="HL14" s="930"/>
      <c r="HM14" s="930"/>
      <c r="HN14" s="930"/>
      <c r="HO14" s="930"/>
      <c r="HP14" s="930"/>
      <c r="HQ14" s="930"/>
      <c r="HR14" s="930"/>
      <c r="HS14" s="930"/>
      <c r="HT14" s="930"/>
      <c r="HU14" s="930"/>
      <c r="HV14" s="930"/>
      <c r="HW14" s="930"/>
      <c r="HX14" s="930"/>
      <c r="HY14" s="930"/>
      <c r="HZ14" s="930"/>
      <c r="IA14" s="930"/>
      <c r="IB14" s="930"/>
      <c r="IC14" s="930"/>
      <c r="ID14" s="930"/>
      <c r="IE14" s="930"/>
      <c r="IF14" s="930"/>
      <c r="IG14" s="930"/>
      <c r="IH14" s="930"/>
      <c r="II14" s="930"/>
      <c r="IJ14" s="930"/>
      <c r="IK14" s="930"/>
      <c r="IL14" s="930"/>
      <c r="IM14" s="930"/>
      <c r="IN14" s="930"/>
      <c r="IO14" s="930"/>
      <c r="IP14" s="930"/>
      <c r="IQ14" s="930"/>
      <c r="IR14" s="930"/>
      <c r="IS14" s="930"/>
      <c r="IT14" s="930"/>
      <c r="IU14" s="930"/>
      <c r="IV14" s="930"/>
    </row>
    <row r="15" spans="1:256">
      <c r="A15" s="936"/>
      <c r="B15" s="936"/>
      <c r="C15" s="936"/>
      <c r="D15" s="936"/>
      <c r="E15" s="932"/>
      <c r="F15" s="932"/>
      <c r="G15" s="932"/>
      <c r="H15" s="932"/>
      <c r="I15" s="932"/>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0"/>
      <c r="AY15" s="930"/>
      <c r="AZ15" s="930"/>
      <c r="BA15" s="930"/>
      <c r="BB15" s="930"/>
      <c r="BC15" s="930"/>
      <c r="BD15" s="930"/>
      <c r="BE15" s="930"/>
      <c r="BF15" s="930"/>
      <c r="BG15" s="930"/>
      <c r="BH15" s="930"/>
      <c r="BI15" s="930"/>
      <c r="BJ15" s="930"/>
      <c r="BK15" s="930"/>
      <c r="BL15" s="930"/>
      <c r="BM15" s="930"/>
      <c r="BN15" s="930"/>
      <c r="BO15" s="930"/>
      <c r="BP15" s="930"/>
      <c r="BQ15" s="930"/>
      <c r="BR15" s="930"/>
      <c r="BS15" s="930"/>
      <c r="BT15" s="930"/>
      <c r="BU15" s="930"/>
      <c r="BV15" s="930"/>
      <c r="BW15" s="930"/>
      <c r="BX15" s="930"/>
      <c r="BY15" s="930"/>
      <c r="BZ15" s="930"/>
      <c r="CA15" s="930"/>
      <c r="CB15" s="930"/>
      <c r="CC15" s="930"/>
      <c r="CD15" s="930"/>
      <c r="CE15" s="930"/>
      <c r="CF15" s="930"/>
      <c r="CG15" s="930"/>
      <c r="CH15" s="930"/>
      <c r="CI15" s="930"/>
      <c r="CJ15" s="930"/>
      <c r="CK15" s="930"/>
      <c r="CL15" s="930"/>
      <c r="CM15" s="930"/>
      <c r="CN15" s="930"/>
      <c r="CO15" s="930"/>
      <c r="CP15" s="930"/>
      <c r="CQ15" s="930"/>
      <c r="CR15" s="930"/>
      <c r="CS15" s="930"/>
      <c r="CT15" s="930"/>
      <c r="CU15" s="930"/>
      <c r="CV15" s="930"/>
      <c r="CW15" s="930"/>
      <c r="CX15" s="930"/>
      <c r="CY15" s="930"/>
      <c r="CZ15" s="930"/>
      <c r="DA15" s="930"/>
      <c r="DB15" s="930"/>
      <c r="DC15" s="930"/>
      <c r="DD15" s="930"/>
      <c r="DE15" s="930"/>
      <c r="DF15" s="930"/>
      <c r="DG15" s="930"/>
      <c r="DH15" s="930"/>
      <c r="DI15" s="930"/>
      <c r="DJ15" s="930"/>
      <c r="DK15" s="930"/>
      <c r="DL15" s="930"/>
      <c r="DM15" s="930"/>
      <c r="DN15" s="930"/>
      <c r="DO15" s="930"/>
      <c r="DP15" s="930"/>
      <c r="DQ15" s="930"/>
      <c r="DR15" s="930"/>
      <c r="DS15" s="930"/>
      <c r="DT15" s="930"/>
      <c r="DU15" s="930"/>
      <c r="DV15" s="930"/>
      <c r="DW15" s="930"/>
      <c r="DX15" s="930"/>
      <c r="DY15" s="930"/>
      <c r="DZ15" s="930"/>
      <c r="EA15" s="930"/>
      <c r="EB15" s="930"/>
      <c r="EC15" s="930"/>
      <c r="ED15" s="930"/>
      <c r="EE15" s="930"/>
      <c r="EF15" s="930"/>
      <c r="EG15" s="930"/>
      <c r="EH15" s="930"/>
      <c r="EI15" s="930"/>
      <c r="EJ15" s="930"/>
      <c r="EK15" s="930"/>
      <c r="EL15" s="930"/>
      <c r="EM15" s="930"/>
      <c r="EN15" s="930"/>
      <c r="EO15" s="930"/>
      <c r="EP15" s="930"/>
      <c r="EQ15" s="930"/>
      <c r="ER15" s="930"/>
      <c r="ES15" s="930"/>
      <c r="ET15" s="930"/>
      <c r="EU15" s="930"/>
      <c r="EV15" s="930"/>
      <c r="EW15" s="930"/>
      <c r="EX15" s="930"/>
      <c r="EY15" s="930"/>
      <c r="EZ15" s="930"/>
      <c r="FA15" s="930"/>
      <c r="FB15" s="930"/>
      <c r="FC15" s="930"/>
      <c r="FD15" s="930"/>
      <c r="FE15" s="930"/>
      <c r="FF15" s="930"/>
      <c r="FG15" s="930"/>
      <c r="FH15" s="930"/>
      <c r="FI15" s="930"/>
      <c r="FJ15" s="930"/>
      <c r="FK15" s="930"/>
      <c r="FL15" s="930"/>
      <c r="FM15" s="930"/>
      <c r="FN15" s="930"/>
      <c r="FO15" s="930"/>
      <c r="FP15" s="930"/>
      <c r="FQ15" s="930"/>
      <c r="FR15" s="930"/>
      <c r="FS15" s="930"/>
      <c r="FT15" s="930"/>
      <c r="FU15" s="930"/>
      <c r="FV15" s="930"/>
      <c r="FW15" s="930"/>
      <c r="FX15" s="930"/>
      <c r="FY15" s="930"/>
      <c r="FZ15" s="930"/>
      <c r="GA15" s="930"/>
      <c r="GB15" s="930"/>
      <c r="GC15" s="930"/>
      <c r="GD15" s="930"/>
      <c r="GE15" s="930"/>
      <c r="GF15" s="930"/>
      <c r="GG15" s="930"/>
      <c r="GH15" s="930"/>
      <c r="GI15" s="930"/>
      <c r="GJ15" s="930"/>
      <c r="GK15" s="930"/>
      <c r="GL15" s="930"/>
      <c r="GM15" s="930"/>
      <c r="GN15" s="930"/>
      <c r="GO15" s="930"/>
      <c r="GP15" s="930"/>
      <c r="GQ15" s="930"/>
      <c r="GR15" s="930"/>
      <c r="GS15" s="930"/>
      <c r="GT15" s="930"/>
      <c r="GU15" s="930"/>
      <c r="GV15" s="930"/>
      <c r="GW15" s="930"/>
      <c r="GX15" s="930"/>
      <c r="GY15" s="930"/>
      <c r="GZ15" s="930"/>
      <c r="HA15" s="930"/>
      <c r="HB15" s="930"/>
      <c r="HC15" s="930"/>
      <c r="HD15" s="930"/>
      <c r="HE15" s="930"/>
      <c r="HF15" s="930"/>
      <c r="HG15" s="930"/>
      <c r="HH15" s="930"/>
      <c r="HI15" s="930"/>
      <c r="HJ15" s="930"/>
      <c r="HK15" s="930"/>
      <c r="HL15" s="930"/>
      <c r="HM15" s="930"/>
      <c r="HN15" s="930"/>
      <c r="HO15" s="930"/>
      <c r="HP15" s="930"/>
      <c r="HQ15" s="930"/>
      <c r="HR15" s="930"/>
      <c r="HS15" s="930"/>
      <c r="HT15" s="930"/>
      <c r="HU15" s="930"/>
      <c r="HV15" s="930"/>
      <c r="HW15" s="930"/>
      <c r="HX15" s="930"/>
      <c r="HY15" s="930"/>
      <c r="HZ15" s="930"/>
      <c r="IA15" s="930"/>
      <c r="IB15" s="930"/>
      <c r="IC15" s="930"/>
      <c r="ID15" s="930"/>
      <c r="IE15" s="930"/>
      <c r="IF15" s="930"/>
      <c r="IG15" s="930"/>
      <c r="IH15" s="930"/>
      <c r="II15" s="930"/>
      <c r="IJ15" s="930"/>
      <c r="IK15" s="930"/>
      <c r="IL15" s="930"/>
      <c r="IM15" s="930"/>
      <c r="IN15" s="930"/>
      <c r="IO15" s="930"/>
      <c r="IP15" s="930"/>
      <c r="IQ15" s="930"/>
      <c r="IR15" s="930"/>
      <c r="IS15" s="930"/>
      <c r="IT15" s="930"/>
      <c r="IU15" s="930"/>
      <c r="IV15" s="930"/>
    </row>
    <row r="16" spans="1:256" ht="15.75">
      <c r="A16" s="930"/>
      <c r="B16" s="939" t="s">
        <v>338</v>
      </c>
      <c r="C16" s="939" t="s">
        <v>339</v>
      </c>
      <c r="D16" s="939" t="s">
        <v>60</v>
      </c>
      <c r="E16" s="939" t="s">
        <v>341</v>
      </c>
      <c r="F16" s="939" t="s">
        <v>266</v>
      </c>
      <c r="G16" s="939" t="s">
        <v>267</v>
      </c>
      <c r="H16" s="939" t="s">
        <v>268</v>
      </c>
      <c r="I16" s="939" t="s">
        <v>273</v>
      </c>
      <c r="J16" s="930"/>
      <c r="K16" s="930"/>
      <c r="L16" s="930"/>
      <c r="M16" s="930"/>
      <c r="N16" s="930"/>
      <c r="O16" s="930"/>
      <c r="P16" s="930"/>
      <c r="Q16" s="930"/>
      <c r="R16" s="930"/>
      <c r="S16" s="930"/>
      <c r="T16" s="930"/>
      <c r="U16" s="930"/>
      <c r="V16" s="930"/>
      <c r="W16" s="930"/>
      <c r="X16" s="930"/>
      <c r="Y16" s="930"/>
      <c r="Z16" s="930"/>
      <c r="AA16" s="930"/>
      <c r="AB16" s="930"/>
      <c r="AC16" s="930"/>
      <c r="AD16" s="930"/>
      <c r="AE16" s="930"/>
      <c r="AF16" s="930"/>
      <c r="AG16" s="930"/>
      <c r="AH16" s="930"/>
      <c r="AI16" s="930"/>
      <c r="AJ16" s="930"/>
      <c r="AK16" s="930"/>
      <c r="AL16" s="930"/>
      <c r="AM16" s="930"/>
      <c r="AN16" s="930"/>
      <c r="AO16" s="930"/>
      <c r="AP16" s="930"/>
      <c r="AQ16" s="930"/>
      <c r="AR16" s="930"/>
      <c r="AS16" s="930"/>
      <c r="AT16" s="930"/>
      <c r="AU16" s="930"/>
      <c r="AV16" s="930"/>
      <c r="AW16" s="930"/>
      <c r="AX16" s="930"/>
      <c r="AY16" s="930"/>
      <c r="AZ16" s="930"/>
      <c r="BA16" s="930"/>
      <c r="BB16" s="930"/>
      <c r="BC16" s="930"/>
      <c r="BD16" s="930"/>
      <c r="BE16" s="930"/>
      <c r="BF16" s="930"/>
      <c r="BG16" s="930"/>
      <c r="BH16" s="930"/>
      <c r="BI16" s="930"/>
      <c r="BJ16" s="930"/>
      <c r="BK16" s="930"/>
      <c r="BL16" s="930"/>
      <c r="BM16" s="930"/>
      <c r="BN16" s="930"/>
      <c r="BO16" s="930"/>
      <c r="BP16" s="930"/>
      <c r="BQ16" s="930"/>
      <c r="BR16" s="930"/>
      <c r="BS16" s="930"/>
      <c r="BT16" s="930"/>
      <c r="BU16" s="930"/>
      <c r="BV16" s="930"/>
      <c r="BW16" s="930"/>
      <c r="BX16" s="930"/>
      <c r="BY16" s="930"/>
      <c r="BZ16" s="930"/>
      <c r="CA16" s="930"/>
      <c r="CB16" s="930"/>
      <c r="CC16" s="930"/>
      <c r="CD16" s="930"/>
      <c r="CE16" s="930"/>
      <c r="CF16" s="930"/>
      <c r="CG16" s="930"/>
      <c r="CH16" s="930"/>
      <c r="CI16" s="930"/>
      <c r="CJ16" s="930"/>
      <c r="CK16" s="930"/>
      <c r="CL16" s="930"/>
      <c r="CM16" s="930"/>
      <c r="CN16" s="930"/>
      <c r="CO16" s="930"/>
      <c r="CP16" s="930"/>
      <c r="CQ16" s="930"/>
      <c r="CR16" s="930"/>
      <c r="CS16" s="930"/>
      <c r="CT16" s="930"/>
      <c r="CU16" s="930"/>
      <c r="CV16" s="930"/>
      <c r="CW16" s="930"/>
      <c r="CX16" s="930"/>
      <c r="CY16" s="930"/>
      <c r="CZ16" s="930"/>
      <c r="DA16" s="930"/>
      <c r="DB16" s="930"/>
      <c r="DC16" s="930"/>
      <c r="DD16" s="930"/>
      <c r="DE16" s="930"/>
      <c r="DF16" s="930"/>
      <c r="DG16" s="930"/>
      <c r="DH16" s="930"/>
      <c r="DI16" s="930"/>
      <c r="DJ16" s="930"/>
      <c r="DK16" s="930"/>
      <c r="DL16" s="930"/>
      <c r="DM16" s="930"/>
      <c r="DN16" s="930"/>
      <c r="DO16" s="930"/>
      <c r="DP16" s="930"/>
      <c r="DQ16" s="930"/>
      <c r="DR16" s="930"/>
      <c r="DS16" s="930"/>
      <c r="DT16" s="930"/>
      <c r="DU16" s="930"/>
      <c r="DV16" s="930"/>
      <c r="DW16" s="930"/>
      <c r="DX16" s="930"/>
      <c r="DY16" s="930"/>
      <c r="DZ16" s="930"/>
      <c r="EA16" s="930"/>
      <c r="EB16" s="930"/>
      <c r="EC16" s="930"/>
      <c r="ED16" s="930"/>
      <c r="EE16" s="930"/>
      <c r="EF16" s="930"/>
      <c r="EG16" s="930"/>
      <c r="EH16" s="930"/>
      <c r="EI16" s="930"/>
      <c r="EJ16" s="930"/>
      <c r="EK16" s="930"/>
      <c r="EL16" s="930"/>
      <c r="EM16" s="930"/>
      <c r="EN16" s="930"/>
      <c r="EO16" s="930"/>
      <c r="EP16" s="930"/>
      <c r="EQ16" s="930"/>
      <c r="ER16" s="930"/>
      <c r="ES16" s="930"/>
      <c r="ET16" s="930"/>
      <c r="EU16" s="930"/>
      <c r="EV16" s="930"/>
      <c r="EW16" s="930"/>
      <c r="EX16" s="930"/>
      <c r="EY16" s="930"/>
      <c r="EZ16" s="930"/>
      <c r="FA16" s="930"/>
      <c r="FB16" s="930"/>
      <c r="FC16" s="930"/>
      <c r="FD16" s="930"/>
      <c r="FE16" s="930"/>
      <c r="FF16" s="930"/>
      <c r="FG16" s="930"/>
      <c r="FH16" s="930"/>
      <c r="FI16" s="930"/>
      <c r="FJ16" s="930"/>
      <c r="FK16" s="930"/>
      <c r="FL16" s="930"/>
      <c r="FM16" s="930"/>
      <c r="FN16" s="930"/>
      <c r="FO16" s="930"/>
      <c r="FP16" s="930"/>
      <c r="FQ16" s="930"/>
      <c r="FR16" s="930"/>
      <c r="FS16" s="930"/>
      <c r="FT16" s="930"/>
      <c r="FU16" s="930"/>
      <c r="FV16" s="930"/>
      <c r="FW16" s="930"/>
      <c r="FX16" s="930"/>
      <c r="FY16" s="930"/>
      <c r="FZ16" s="930"/>
      <c r="GA16" s="930"/>
      <c r="GB16" s="930"/>
      <c r="GC16" s="930"/>
      <c r="GD16" s="930"/>
      <c r="GE16" s="930"/>
      <c r="GF16" s="930"/>
      <c r="GG16" s="930"/>
      <c r="GH16" s="930"/>
      <c r="GI16" s="930"/>
      <c r="GJ16" s="930"/>
      <c r="GK16" s="930"/>
      <c r="GL16" s="930"/>
      <c r="GM16" s="930"/>
      <c r="GN16" s="930"/>
      <c r="GO16" s="930"/>
      <c r="GP16" s="930"/>
      <c r="GQ16" s="930"/>
      <c r="GR16" s="930"/>
      <c r="GS16" s="930"/>
      <c r="GT16" s="930"/>
      <c r="GU16" s="930"/>
      <c r="GV16" s="930"/>
      <c r="GW16" s="930"/>
      <c r="GX16" s="930"/>
      <c r="GY16" s="930"/>
      <c r="GZ16" s="930"/>
      <c r="HA16" s="930"/>
      <c r="HB16" s="930"/>
      <c r="HC16" s="930"/>
      <c r="HD16" s="930"/>
      <c r="HE16" s="930"/>
      <c r="HF16" s="930"/>
      <c r="HG16" s="930"/>
      <c r="HH16" s="930"/>
      <c r="HI16" s="930"/>
      <c r="HJ16" s="930"/>
      <c r="HK16" s="930"/>
      <c r="HL16" s="930"/>
      <c r="HM16" s="930"/>
      <c r="HN16" s="930"/>
      <c r="HO16" s="930"/>
      <c r="HP16" s="930"/>
      <c r="HQ16" s="930"/>
      <c r="HR16" s="930"/>
      <c r="HS16" s="930"/>
      <c r="HT16" s="930"/>
      <c r="HU16" s="930"/>
      <c r="HV16" s="930"/>
      <c r="HW16" s="930"/>
      <c r="HX16" s="930"/>
      <c r="HY16" s="930"/>
      <c r="HZ16" s="930"/>
      <c r="IA16" s="930"/>
      <c r="IB16" s="930"/>
      <c r="IC16" s="930"/>
      <c r="ID16" s="930"/>
      <c r="IE16" s="930"/>
      <c r="IF16" s="930"/>
      <c r="IG16" s="930"/>
      <c r="IH16" s="930"/>
      <c r="II16" s="930"/>
      <c r="IJ16" s="930"/>
      <c r="IK16" s="930"/>
      <c r="IL16" s="930"/>
      <c r="IM16" s="930"/>
      <c r="IN16" s="930"/>
      <c r="IO16" s="930"/>
      <c r="IP16" s="930"/>
      <c r="IQ16" s="930"/>
      <c r="IR16" s="930"/>
      <c r="IS16" s="930"/>
      <c r="IT16" s="930"/>
      <c r="IU16" s="930"/>
      <c r="IV16" s="930"/>
    </row>
    <row r="17" spans="1:256" ht="39">
      <c r="A17" s="940" t="s">
        <v>345</v>
      </c>
      <c r="B17" s="934" t="s">
        <v>563</v>
      </c>
      <c r="C17" s="934" t="s">
        <v>564</v>
      </c>
      <c r="D17" s="934" t="s">
        <v>572</v>
      </c>
      <c r="E17" s="934" t="s">
        <v>573</v>
      </c>
      <c r="F17" s="934" t="s">
        <v>574</v>
      </c>
      <c r="G17" s="934" t="s">
        <v>575</v>
      </c>
      <c r="H17" s="934" t="s">
        <v>565</v>
      </c>
      <c r="I17" s="934" t="s">
        <v>576</v>
      </c>
      <c r="J17" s="930"/>
      <c r="K17" s="941"/>
      <c r="L17" s="941"/>
      <c r="M17" s="941"/>
      <c r="N17" s="941"/>
      <c r="O17" s="941"/>
      <c r="P17" s="941"/>
      <c r="Q17" s="941"/>
      <c r="R17" s="941"/>
      <c r="S17" s="941"/>
      <c r="T17" s="941"/>
      <c r="U17" s="941"/>
      <c r="V17" s="941"/>
      <c r="W17" s="941"/>
      <c r="X17" s="941"/>
      <c r="Y17" s="941"/>
      <c r="Z17" s="941"/>
      <c r="AA17" s="941"/>
      <c r="AB17" s="941"/>
      <c r="AC17" s="941"/>
      <c r="AD17" s="941"/>
      <c r="AE17" s="941"/>
      <c r="AF17" s="941"/>
      <c r="AG17" s="941"/>
      <c r="AH17" s="941"/>
      <c r="AI17" s="941"/>
      <c r="AJ17" s="941"/>
      <c r="AK17" s="941"/>
      <c r="AL17" s="941"/>
      <c r="AM17" s="941"/>
      <c r="AN17" s="941"/>
      <c r="AO17" s="941"/>
      <c r="AP17" s="941"/>
      <c r="AQ17" s="941"/>
      <c r="AR17" s="941"/>
      <c r="AS17" s="941"/>
      <c r="AT17" s="941"/>
      <c r="AU17" s="941"/>
      <c r="AV17" s="941"/>
      <c r="AW17" s="941"/>
      <c r="AX17" s="941"/>
      <c r="AY17" s="941"/>
      <c r="AZ17" s="941"/>
      <c r="BA17" s="941"/>
      <c r="BB17" s="941"/>
      <c r="BC17" s="941"/>
      <c r="BD17" s="941"/>
      <c r="BE17" s="941"/>
      <c r="BF17" s="941"/>
      <c r="BG17" s="941"/>
      <c r="BH17" s="941"/>
      <c r="BI17" s="941"/>
      <c r="BJ17" s="941"/>
      <c r="BK17" s="941"/>
      <c r="BL17" s="941"/>
      <c r="BM17" s="941"/>
      <c r="BN17" s="941"/>
      <c r="BO17" s="941"/>
      <c r="BP17" s="941"/>
      <c r="BQ17" s="941"/>
      <c r="BR17" s="941"/>
      <c r="BS17" s="941"/>
      <c r="BT17" s="941"/>
      <c r="BU17" s="941"/>
      <c r="BV17" s="941"/>
      <c r="BW17" s="941"/>
      <c r="BX17" s="941"/>
      <c r="BY17" s="941"/>
      <c r="BZ17" s="941"/>
      <c r="CA17" s="941"/>
      <c r="CB17" s="941"/>
      <c r="CC17" s="941"/>
      <c r="CD17" s="941"/>
      <c r="CE17" s="941"/>
      <c r="CF17" s="941"/>
      <c r="CG17" s="941"/>
      <c r="CH17" s="941"/>
      <c r="CI17" s="941"/>
      <c r="CJ17" s="941"/>
      <c r="CK17" s="941"/>
      <c r="CL17" s="941"/>
      <c r="CM17" s="941"/>
      <c r="CN17" s="941"/>
      <c r="CO17" s="941"/>
      <c r="CP17" s="941"/>
      <c r="CQ17" s="941"/>
      <c r="CR17" s="941"/>
      <c r="CS17" s="941"/>
      <c r="CT17" s="941"/>
      <c r="CU17" s="941"/>
      <c r="CV17" s="941"/>
      <c r="CW17" s="941"/>
      <c r="CX17" s="941"/>
      <c r="CY17" s="941"/>
      <c r="CZ17" s="941"/>
      <c r="DA17" s="941"/>
      <c r="DB17" s="941"/>
      <c r="DC17" s="941"/>
      <c r="DD17" s="941"/>
      <c r="DE17" s="941"/>
      <c r="DF17" s="941"/>
      <c r="DG17" s="941"/>
      <c r="DH17" s="941"/>
      <c r="DI17" s="941"/>
      <c r="DJ17" s="941"/>
      <c r="DK17" s="941"/>
      <c r="DL17" s="941"/>
      <c r="DM17" s="941"/>
      <c r="DN17" s="941"/>
      <c r="DO17" s="941"/>
      <c r="DP17" s="941"/>
      <c r="DQ17" s="941"/>
      <c r="DR17" s="941"/>
      <c r="DS17" s="941"/>
      <c r="DT17" s="941"/>
      <c r="DU17" s="941"/>
      <c r="DV17" s="941"/>
      <c r="DW17" s="941"/>
      <c r="DX17" s="941"/>
      <c r="DY17" s="941"/>
      <c r="DZ17" s="941"/>
      <c r="EA17" s="941"/>
      <c r="EB17" s="941"/>
      <c r="EC17" s="941"/>
      <c r="ED17" s="941"/>
      <c r="EE17" s="941"/>
      <c r="EF17" s="941"/>
      <c r="EG17" s="941"/>
      <c r="EH17" s="941"/>
      <c r="EI17" s="941"/>
      <c r="EJ17" s="941"/>
      <c r="EK17" s="941"/>
      <c r="EL17" s="941"/>
      <c r="EM17" s="941"/>
      <c r="EN17" s="941"/>
      <c r="EO17" s="941"/>
      <c r="EP17" s="941"/>
      <c r="EQ17" s="941"/>
      <c r="ER17" s="941"/>
      <c r="ES17" s="941"/>
      <c r="ET17" s="941"/>
      <c r="EU17" s="941"/>
      <c r="EV17" s="941"/>
      <c r="EW17" s="941"/>
      <c r="EX17" s="941"/>
      <c r="EY17" s="941"/>
      <c r="EZ17" s="941"/>
      <c r="FA17" s="941"/>
      <c r="FB17" s="941"/>
      <c r="FC17" s="941"/>
      <c r="FD17" s="941"/>
      <c r="FE17" s="941"/>
      <c r="FF17" s="941"/>
      <c r="FG17" s="941"/>
      <c r="FH17" s="941"/>
      <c r="FI17" s="941"/>
      <c r="FJ17" s="941"/>
      <c r="FK17" s="941"/>
      <c r="FL17" s="941"/>
      <c r="FM17" s="941"/>
      <c r="FN17" s="941"/>
      <c r="FO17" s="941"/>
      <c r="FP17" s="941"/>
      <c r="FQ17" s="941"/>
      <c r="FR17" s="941"/>
      <c r="FS17" s="941"/>
      <c r="FT17" s="941"/>
      <c r="FU17" s="941"/>
      <c r="FV17" s="941"/>
      <c r="FW17" s="941"/>
      <c r="FX17" s="941"/>
      <c r="FY17" s="941"/>
      <c r="FZ17" s="941"/>
      <c r="GA17" s="941"/>
      <c r="GB17" s="941"/>
      <c r="GC17" s="941"/>
      <c r="GD17" s="941"/>
      <c r="GE17" s="941"/>
      <c r="GF17" s="941"/>
      <c r="GG17" s="941"/>
      <c r="GH17" s="941"/>
      <c r="GI17" s="941"/>
      <c r="GJ17" s="941"/>
      <c r="GK17" s="941"/>
      <c r="GL17" s="941"/>
      <c r="GM17" s="941"/>
      <c r="GN17" s="941"/>
      <c r="GO17" s="941"/>
      <c r="GP17" s="941"/>
      <c r="GQ17" s="941"/>
      <c r="GR17" s="941"/>
      <c r="GS17" s="941"/>
      <c r="GT17" s="941"/>
      <c r="GU17" s="941"/>
      <c r="GV17" s="941"/>
      <c r="GW17" s="941"/>
      <c r="GX17" s="941"/>
      <c r="GY17" s="941"/>
      <c r="GZ17" s="941"/>
      <c r="HA17" s="941"/>
      <c r="HB17" s="941"/>
      <c r="HC17" s="941"/>
      <c r="HD17" s="941"/>
      <c r="HE17" s="941"/>
      <c r="HF17" s="941"/>
      <c r="HG17" s="941"/>
      <c r="HH17" s="941"/>
      <c r="HI17" s="941"/>
      <c r="HJ17" s="941"/>
      <c r="HK17" s="941"/>
      <c r="HL17" s="941"/>
      <c r="HM17" s="941"/>
      <c r="HN17" s="941"/>
      <c r="HO17" s="941"/>
      <c r="HP17" s="941"/>
      <c r="HQ17" s="941"/>
      <c r="HR17" s="941"/>
      <c r="HS17" s="941"/>
      <c r="HT17" s="941"/>
      <c r="HU17" s="941"/>
      <c r="HV17" s="941"/>
      <c r="HW17" s="941"/>
      <c r="HX17" s="941"/>
      <c r="HY17" s="941"/>
      <c r="HZ17" s="941"/>
      <c r="IA17" s="941"/>
      <c r="IB17" s="941"/>
      <c r="IC17" s="941"/>
      <c r="ID17" s="941"/>
      <c r="IE17" s="941"/>
      <c r="IF17" s="941"/>
      <c r="IG17" s="941"/>
      <c r="IH17" s="941"/>
      <c r="II17" s="941"/>
      <c r="IJ17" s="941"/>
      <c r="IK17" s="941"/>
      <c r="IL17" s="941"/>
      <c r="IM17" s="941"/>
      <c r="IN17" s="941"/>
      <c r="IO17" s="941"/>
      <c r="IP17" s="941"/>
      <c r="IQ17" s="941"/>
      <c r="IR17" s="941"/>
      <c r="IS17" s="941"/>
      <c r="IT17" s="941"/>
      <c r="IU17" s="941"/>
      <c r="IV17" s="941"/>
    </row>
    <row r="18" spans="1:256">
      <c r="A18" s="935">
        <f>+A14+1</f>
        <v>5</v>
      </c>
      <c r="B18" s="931" t="s">
        <v>566</v>
      </c>
      <c r="C18" s="942">
        <f>+H12</f>
        <v>-1012368993.5099999</v>
      </c>
      <c r="D18" s="942">
        <f>C18</f>
        <v>-1012368993.5099999</v>
      </c>
      <c r="E18" s="931"/>
      <c r="F18" s="869">
        <v>365</v>
      </c>
      <c r="G18" s="943">
        <f>F18/$F$18</f>
        <v>1</v>
      </c>
      <c r="H18" s="942">
        <f>C18*G18</f>
        <v>-1012368993.5099999</v>
      </c>
      <c r="I18" s="942">
        <f>H18</f>
        <v>-1012368993.5099999</v>
      </c>
      <c r="J18" s="930"/>
      <c r="K18" s="930"/>
      <c r="L18" s="930"/>
      <c r="M18" s="930"/>
      <c r="N18" s="930"/>
      <c r="O18" s="930"/>
      <c r="P18" s="930"/>
      <c r="Q18" s="930"/>
      <c r="R18" s="930"/>
      <c r="S18" s="930"/>
      <c r="T18" s="930"/>
      <c r="U18" s="930"/>
      <c r="V18" s="930"/>
      <c r="W18" s="930"/>
      <c r="X18" s="930"/>
      <c r="Y18" s="930"/>
      <c r="Z18" s="930"/>
      <c r="AA18" s="930"/>
      <c r="AB18" s="930"/>
      <c r="AC18" s="930"/>
      <c r="AD18" s="930"/>
      <c r="AE18" s="930"/>
      <c r="AF18" s="930"/>
      <c r="AG18" s="930"/>
      <c r="AH18" s="930"/>
      <c r="AI18" s="930"/>
      <c r="AJ18" s="930"/>
      <c r="AK18" s="930"/>
      <c r="AL18" s="930"/>
      <c r="AM18" s="930"/>
      <c r="AN18" s="930"/>
      <c r="AO18" s="930"/>
      <c r="AP18" s="930"/>
      <c r="AQ18" s="930"/>
      <c r="AR18" s="930"/>
      <c r="AS18" s="930"/>
      <c r="AT18" s="930"/>
      <c r="AU18" s="930"/>
      <c r="AV18" s="930"/>
      <c r="AW18" s="930"/>
      <c r="AX18" s="930"/>
      <c r="AY18" s="930"/>
      <c r="AZ18" s="930"/>
      <c r="BA18" s="930"/>
      <c r="BB18" s="930"/>
      <c r="BC18" s="930"/>
      <c r="BD18" s="930"/>
      <c r="BE18" s="930"/>
      <c r="BF18" s="930"/>
      <c r="BG18" s="930"/>
      <c r="BH18" s="930"/>
      <c r="BI18" s="930"/>
      <c r="BJ18" s="930"/>
      <c r="BK18" s="930"/>
      <c r="BL18" s="930"/>
      <c r="BM18" s="930"/>
      <c r="BN18" s="930"/>
      <c r="BO18" s="930"/>
      <c r="BP18" s="930"/>
      <c r="BQ18" s="930"/>
      <c r="BR18" s="930"/>
      <c r="BS18" s="930"/>
      <c r="BT18" s="930"/>
      <c r="BU18" s="930"/>
      <c r="BV18" s="930"/>
      <c r="BW18" s="930"/>
      <c r="BX18" s="930"/>
      <c r="BY18" s="930"/>
      <c r="BZ18" s="930"/>
      <c r="CA18" s="930"/>
      <c r="CB18" s="930"/>
      <c r="CC18" s="930"/>
      <c r="CD18" s="930"/>
      <c r="CE18" s="930"/>
      <c r="CF18" s="930"/>
      <c r="CG18" s="930"/>
      <c r="CH18" s="930"/>
      <c r="CI18" s="930"/>
      <c r="CJ18" s="930"/>
      <c r="CK18" s="930"/>
      <c r="CL18" s="930"/>
      <c r="CM18" s="930"/>
      <c r="CN18" s="930"/>
      <c r="CO18" s="930"/>
      <c r="CP18" s="930"/>
      <c r="CQ18" s="930"/>
      <c r="CR18" s="930"/>
      <c r="CS18" s="930"/>
      <c r="CT18" s="930"/>
      <c r="CU18" s="930"/>
      <c r="CV18" s="930"/>
      <c r="CW18" s="930"/>
      <c r="CX18" s="930"/>
      <c r="CY18" s="930"/>
      <c r="CZ18" s="930"/>
      <c r="DA18" s="930"/>
      <c r="DB18" s="930"/>
      <c r="DC18" s="930"/>
      <c r="DD18" s="930"/>
      <c r="DE18" s="930"/>
      <c r="DF18" s="930"/>
      <c r="DG18" s="930"/>
      <c r="DH18" s="930"/>
      <c r="DI18" s="930"/>
      <c r="DJ18" s="930"/>
      <c r="DK18" s="930"/>
      <c r="DL18" s="930"/>
      <c r="DM18" s="930"/>
      <c r="DN18" s="930"/>
      <c r="DO18" s="930"/>
      <c r="DP18" s="930"/>
      <c r="DQ18" s="930"/>
      <c r="DR18" s="930"/>
      <c r="DS18" s="930"/>
      <c r="DT18" s="930"/>
      <c r="DU18" s="930"/>
      <c r="DV18" s="930"/>
      <c r="DW18" s="930"/>
      <c r="DX18" s="930"/>
      <c r="DY18" s="930"/>
      <c r="DZ18" s="930"/>
      <c r="EA18" s="930"/>
      <c r="EB18" s="930"/>
      <c r="EC18" s="930"/>
      <c r="ED18" s="930"/>
      <c r="EE18" s="930"/>
      <c r="EF18" s="930"/>
      <c r="EG18" s="930"/>
      <c r="EH18" s="930"/>
      <c r="EI18" s="930"/>
      <c r="EJ18" s="930"/>
      <c r="EK18" s="930"/>
      <c r="EL18" s="930"/>
      <c r="EM18" s="930"/>
      <c r="EN18" s="930"/>
      <c r="EO18" s="930"/>
      <c r="EP18" s="930"/>
      <c r="EQ18" s="930"/>
      <c r="ER18" s="930"/>
      <c r="ES18" s="930"/>
      <c r="ET18" s="930"/>
      <c r="EU18" s="930"/>
      <c r="EV18" s="930"/>
      <c r="EW18" s="930"/>
      <c r="EX18" s="930"/>
      <c r="EY18" s="930"/>
      <c r="EZ18" s="930"/>
      <c r="FA18" s="930"/>
      <c r="FB18" s="930"/>
      <c r="FC18" s="930"/>
      <c r="FD18" s="930"/>
      <c r="FE18" s="930"/>
      <c r="FF18" s="930"/>
      <c r="FG18" s="930"/>
      <c r="FH18" s="930"/>
      <c r="FI18" s="930"/>
      <c r="FJ18" s="930"/>
      <c r="FK18" s="930"/>
      <c r="FL18" s="930"/>
      <c r="FM18" s="930"/>
      <c r="FN18" s="930"/>
      <c r="FO18" s="930"/>
      <c r="FP18" s="930"/>
      <c r="FQ18" s="930"/>
      <c r="FR18" s="930"/>
      <c r="FS18" s="930"/>
      <c r="FT18" s="930"/>
      <c r="FU18" s="930"/>
      <c r="FV18" s="930"/>
      <c r="FW18" s="930"/>
      <c r="FX18" s="930"/>
      <c r="FY18" s="930"/>
      <c r="FZ18" s="930"/>
      <c r="GA18" s="930"/>
      <c r="GB18" s="930"/>
      <c r="GC18" s="930"/>
      <c r="GD18" s="930"/>
      <c r="GE18" s="930"/>
      <c r="GF18" s="930"/>
      <c r="GG18" s="930"/>
      <c r="GH18" s="930"/>
      <c r="GI18" s="930"/>
      <c r="GJ18" s="930"/>
      <c r="GK18" s="930"/>
      <c r="GL18" s="930"/>
      <c r="GM18" s="930"/>
      <c r="GN18" s="930"/>
      <c r="GO18" s="930"/>
      <c r="GP18" s="930"/>
      <c r="GQ18" s="930"/>
      <c r="GR18" s="930"/>
      <c r="GS18" s="930"/>
      <c r="GT18" s="930"/>
      <c r="GU18" s="930"/>
      <c r="GV18" s="930"/>
      <c r="GW18" s="930"/>
      <c r="GX18" s="930"/>
      <c r="GY18" s="930"/>
      <c r="GZ18" s="930"/>
      <c r="HA18" s="930"/>
      <c r="HB18" s="930"/>
      <c r="HC18" s="930"/>
      <c r="HD18" s="930"/>
      <c r="HE18" s="930"/>
      <c r="HF18" s="930"/>
      <c r="HG18" s="930"/>
      <c r="HH18" s="930"/>
      <c r="HI18" s="930"/>
      <c r="HJ18" s="930"/>
      <c r="HK18" s="930"/>
      <c r="HL18" s="930"/>
      <c r="HM18" s="930"/>
      <c r="HN18" s="930"/>
      <c r="HO18" s="930"/>
      <c r="HP18" s="930"/>
      <c r="HQ18" s="930"/>
      <c r="HR18" s="930"/>
      <c r="HS18" s="930"/>
      <c r="HT18" s="930"/>
      <c r="HU18" s="930"/>
      <c r="HV18" s="930"/>
      <c r="HW18" s="930"/>
      <c r="HX18" s="930"/>
      <c r="HY18" s="930"/>
      <c r="HZ18" s="930"/>
      <c r="IA18" s="930"/>
      <c r="IB18" s="930"/>
      <c r="IC18" s="930"/>
      <c r="ID18" s="930"/>
      <c r="IE18" s="930"/>
      <c r="IF18" s="930"/>
      <c r="IG18" s="930"/>
      <c r="IH18" s="930"/>
      <c r="II18" s="930"/>
      <c r="IJ18" s="930"/>
      <c r="IK18" s="930"/>
      <c r="IL18" s="930"/>
      <c r="IM18" s="930"/>
      <c r="IN18" s="930"/>
      <c r="IO18" s="930"/>
      <c r="IP18" s="930"/>
      <c r="IQ18" s="930"/>
      <c r="IR18" s="930"/>
      <c r="IS18" s="930"/>
      <c r="IT18" s="930"/>
      <c r="IU18" s="930"/>
      <c r="IV18" s="930"/>
    </row>
    <row r="19" spans="1:256">
      <c r="A19" s="935">
        <f>+A18+1</f>
        <v>6</v>
      </c>
      <c r="B19" s="931" t="s">
        <v>567</v>
      </c>
      <c r="C19" s="942">
        <f>+$H$14</f>
        <v>-469482.91666666669</v>
      </c>
      <c r="D19" s="942">
        <f>D18+C19</f>
        <v>-1012838476.4266665</v>
      </c>
      <c r="E19" s="931">
        <v>31</v>
      </c>
      <c r="F19" s="869">
        <v>335</v>
      </c>
      <c r="G19" s="943">
        <f t="shared" ref="G19:G30" si="0">F19/$F$18</f>
        <v>0.9178082191780822</v>
      </c>
      <c r="H19" s="942">
        <f t="shared" ref="H19:H30" si="1">C19*G19</f>
        <v>-430895.27968036529</v>
      </c>
      <c r="I19" s="942">
        <f>I18+H19</f>
        <v>-1012799888.7896802</v>
      </c>
      <c r="J19" s="930"/>
      <c r="K19" s="930"/>
      <c r="L19" s="930"/>
      <c r="M19" s="930"/>
      <c r="N19" s="930"/>
      <c r="O19" s="930"/>
      <c r="P19" s="930"/>
      <c r="Q19" s="930"/>
      <c r="R19" s="930"/>
      <c r="S19" s="930"/>
      <c r="T19" s="930"/>
      <c r="U19" s="930"/>
      <c r="V19" s="930"/>
      <c r="W19" s="930"/>
      <c r="X19" s="930"/>
      <c r="Y19" s="930"/>
      <c r="Z19" s="930"/>
      <c r="AA19" s="930"/>
      <c r="AB19" s="930"/>
      <c r="AC19" s="930"/>
      <c r="AD19" s="930"/>
      <c r="AE19" s="930"/>
      <c r="AF19" s="930"/>
      <c r="AG19" s="930"/>
      <c r="AH19" s="930"/>
      <c r="AI19" s="930"/>
      <c r="AJ19" s="930"/>
      <c r="AK19" s="930"/>
      <c r="AL19" s="930"/>
      <c r="AM19" s="930"/>
      <c r="AN19" s="930"/>
      <c r="AO19" s="930"/>
      <c r="AP19" s="930"/>
      <c r="AQ19" s="930"/>
      <c r="AR19" s="930"/>
      <c r="AS19" s="930"/>
      <c r="AT19" s="930"/>
      <c r="AU19" s="930"/>
      <c r="AV19" s="930"/>
      <c r="AW19" s="930"/>
      <c r="AX19" s="930"/>
      <c r="AY19" s="930"/>
      <c r="AZ19" s="930"/>
      <c r="BA19" s="930"/>
      <c r="BB19" s="930"/>
      <c r="BC19" s="930"/>
      <c r="BD19" s="930"/>
      <c r="BE19" s="930"/>
      <c r="BF19" s="930"/>
      <c r="BG19" s="930"/>
      <c r="BH19" s="930"/>
      <c r="BI19" s="930"/>
      <c r="BJ19" s="930"/>
      <c r="BK19" s="930"/>
      <c r="BL19" s="930"/>
      <c r="BM19" s="930"/>
      <c r="BN19" s="930"/>
      <c r="BO19" s="930"/>
      <c r="BP19" s="930"/>
      <c r="BQ19" s="930"/>
      <c r="BR19" s="930"/>
      <c r="BS19" s="930"/>
      <c r="BT19" s="930"/>
      <c r="BU19" s="930"/>
      <c r="BV19" s="930"/>
      <c r="BW19" s="930"/>
      <c r="BX19" s="930"/>
      <c r="BY19" s="930"/>
      <c r="BZ19" s="930"/>
      <c r="CA19" s="930"/>
      <c r="CB19" s="930"/>
      <c r="CC19" s="930"/>
      <c r="CD19" s="930"/>
      <c r="CE19" s="930"/>
      <c r="CF19" s="930"/>
      <c r="CG19" s="930"/>
      <c r="CH19" s="930"/>
      <c r="CI19" s="930"/>
      <c r="CJ19" s="930"/>
      <c r="CK19" s="930"/>
      <c r="CL19" s="930"/>
      <c r="CM19" s="930"/>
      <c r="CN19" s="930"/>
      <c r="CO19" s="930"/>
      <c r="CP19" s="930"/>
      <c r="CQ19" s="930"/>
      <c r="CR19" s="930"/>
      <c r="CS19" s="930"/>
      <c r="CT19" s="930"/>
      <c r="CU19" s="930"/>
      <c r="CV19" s="930"/>
      <c r="CW19" s="930"/>
      <c r="CX19" s="930"/>
      <c r="CY19" s="930"/>
      <c r="CZ19" s="930"/>
      <c r="DA19" s="930"/>
      <c r="DB19" s="930"/>
      <c r="DC19" s="930"/>
      <c r="DD19" s="930"/>
      <c r="DE19" s="930"/>
      <c r="DF19" s="930"/>
      <c r="DG19" s="930"/>
      <c r="DH19" s="930"/>
      <c r="DI19" s="930"/>
      <c r="DJ19" s="930"/>
      <c r="DK19" s="930"/>
      <c r="DL19" s="930"/>
      <c r="DM19" s="930"/>
      <c r="DN19" s="930"/>
      <c r="DO19" s="930"/>
      <c r="DP19" s="930"/>
      <c r="DQ19" s="930"/>
      <c r="DR19" s="930"/>
      <c r="DS19" s="930"/>
      <c r="DT19" s="930"/>
      <c r="DU19" s="930"/>
      <c r="DV19" s="930"/>
      <c r="DW19" s="930"/>
      <c r="DX19" s="930"/>
      <c r="DY19" s="930"/>
      <c r="DZ19" s="930"/>
      <c r="EA19" s="930"/>
      <c r="EB19" s="930"/>
      <c r="EC19" s="930"/>
      <c r="ED19" s="930"/>
      <c r="EE19" s="930"/>
      <c r="EF19" s="930"/>
      <c r="EG19" s="930"/>
      <c r="EH19" s="930"/>
      <c r="EI19" s="930"/>
      <c r="EJ19" s="930"/>
      <c r="EK19" s="930"/>
      <c r="EL19" s="930"/>
      <c r="EM19" s="930"/>
      <c r="EN19" s="930"/>
      <c r="EO19" s="930"/>
      <c r="EP19" s="930"/>
      <c r="EQ19" s="930"/>
      <c r="ER19" s="930"/>
      <c r="ES19" s="930"/>
      <c r="ET19" s="930"/>
      <c r="EU19" s="930"/>
      <c r="EV19" s="930"/>
      <c r="EW19" s="930"/>
      <c r="EX19" s="930"/>
      <c r="EY19" s="930"/>
      <c r="EZ19" s="930"/>
      <c r="FA19" s="930"/>
      <c r="FB19" s="930"/>
      <c r="FC19" s="930"/>
      <c r="FD19" s="930"/>
      <c r="FE19" s="930"/>
      <c r="FF19" s="930"/>
      <c r="FG19" s="930"/>
      <c r="FH19" s="930"/>
      <c r="FI19" s="930"/>
      <c r="FJ19" s="930"/>
      <c r="FK19" s="930"/>
      <c r="FL19" s="930"/>
      <c r="FM19" s="930"/>
      <c r="FN19" s="930"/>
      <c r="FO19" s="930"/>
      <c r="FP19" s="930"/>
      <c r="FQ19" s="930"/>
      <c r="FR19" s="930"/>
      <c r="FS19" s="930"/>
      <c r="FT19" s="930"/>
      <c r="FU19" s="930"/>
      <c r="FV19" s="930"/>
      <c r="FW19" s="930"/>
      <c r="FX19" s="930"/>
      <c r="FY19" s="930"/>
      <c r="FZ19" s="930"/>
      <c r="GA19" s="930"/>
      <c r="GB19" s="930"/>
      <c r="GC19" s="930"/>
      <c r="GD19" s="930"/>
      <c r="GE19" s="930"/>
      <c r="GF19" s="930"/>
      <c r="GG19" s="930"/>
      <c r="GH19" s="930"/>
      <c r="GI19" s="930"/>
      <c r="GJ19" s="930"/>
      <c r="GK19" s="930"/>
      <c r="GL19" s="930"/>
      <c r="GM19" s="930"/>
      <c r="GN19" s="930"/>
      <c r="GO19" s="930"/>
      <c r="GP19" s="930"/>
      <c r="GQ19" s="930"/>
      <c r="GR19" s="930"/>
      <c r="GS19" s="930"/>
      <c r="GT19" s="930"/>
      <c r="GU19" s="930"/>
      <c r="GV19" s="930"/>
      <c r="GW19" s="930"/>
      <c r="GX19" s="930"/>
      <c r="GY19" s="930"/>
      <c r="GZ19" s="930"/>
      <c r="HA19" s="930"/>
      <c r="HB19" s="930"/>
      <c r="HC19" s="930"/>
      <c r="HD19" s="930"/>
      <c r="HE19" s="930"/>
      <c r="HF19" s="930"/>
      <c r="HG19" s="930"/>
      <c r="HH19" s="930"/>
      <c r="HI19" s="930"/>
      <c r="HJ19" s="930"/>
      <c r="HK19" s="930"/>
      <c r="HL19" s="930"/>
      <c r="HM19" s="930"/>
      <c r="HN19" s="930"/>
      <c r="HO19" s="930"/>
      <c r="HP19" s="930"/>
      <c r="HQ19" s="930"/>
      <c r="HR19" s="930"/>
      <c r="HS19" s="930"/>
      <c r="HT19" s="930"/>
      <c r="HU19" s="930"/>
      <c r="HV19" s="930"/>
      <c r="HW19" s="930"/>
      <c r="HX19" s="930"/>
      <c r="HY19" s="930"/>
      <c r="HZ19" s="930"/>
      <c r="IA19" s="930"/>
      <c r="IB19" s="930"/>
      <c r="IC19" s="930"/>
      <c r="ID19" s="930"/>
      <c r="IE19" s="930"/>
      <c r="IF19" s="930"/>
      <c r="IG19" s="930"/>
      <c r="IH19" s="930"/>
      <c r="II19" s="930"/>
      <c r="IJ19" s="930"/>
      <c r="IK19" s="930"/>
      <c r="IL19" s="930"/>
      <c r="IM19" s="930"/>
      <c r="IN19" s="930"/>
      <c r="IO19" s="930"/>
      <c r="IP19" s="930"/>
      <c r="IQ19" s="930"/>
      <c r="IR19" s="930"/>
      <c r="IS19" s="930"/>
      <c r="IT19" s="930"/>
      <c r="IU19" s="930"/>
      <c r="IV19" s="930"/>
    </row>
    <row r="20" spans="1:256">
      <c r="A20" s="935">
        <f t="shared" ref="A20:A30" si="2">+A19+1</f>
        <v>7</v>
      </c>
      <c r="B20" s="931" t="s">
        <v>568</v>
      </c>
      <c r="C20" s="942">
        <f t="shared" ref="C20:C30" si="3">+$H$14</f>
        <v>-469482.91666666669</v>
      </c>
      <c r="D20" s="942">
        <f>D19+C20</f>
        <v>-1013307959.3433331</v>
      </c>
      <c r="E20" s="869">
        <v>28</v>
      </c>
      <c r="F20" s="869">
        <v>307</v>
      </c>
      <c r="G20" s="943">
        <f t="shared" si="0"/>
        <v>0.84109589041095889</v>
      </c>
      <c r="H20" s="942">
        <f t="shared" si="1"/>
        <v>-394880.15182648401</v>
      </c>
      <c r="I20" s="942">
        <f t="shared" ref="I20:I30" si="4">I19+H20</f>
        <v>-1013194768.9415067</v>
      </c>
      <c r="J20" s="930"/>
      <c r="K20" s="930"/>
      <c r="L20" s="930"/>
      <c r="M20" s="930"/>
      <c r="N20" s="930"/>
      <c r="O20" s="930"/>
      <c r="P20" s="930"/>
      <c r="Q20" s="930"/>
      <c r="R20" s="930"/>
      <c r="S20" s="930"/>
      <c r="T20" s="930"/>
      <c r="U20" s="930"/>
      <c r="V20" s="930"/>
      <c r="W20" s="930"/>
      <c r="X20" s="930"/>
      <c r="Y20" s="930"/>
      <c r="Z20" s="930"/>
      <c r="AA20" s="930"/>
      <c r="AB20" s="930"/>
      <c r="AC20" s="930"/>
      <c r="AD20" s="930"/>
      <c r="AE20" s="930"/>
      <c r="AF20" s="930"/>
      <c r="AG20" s="930"/>
      <c r="AH20" s="930"/>
      <c r="AI20" s="930"/>
      <c r="AJ20" s="930"/>
      <c r="AK20" s="930"/>
      <c r="AL20" s="930"/>
      <c r="AM20" s="930"/>
      <c r="AN20" s="930"/>
      <c r="AO20" s="930"/>
      <c r="AP20" s="930"/>
      <c r="AQ20" s="930"/>
      <c r="AR20" s="930"/>
      <c r="AS20" s="930"/>
      <c r="AT20" s="930"/>
      <c r="AU20" s="930"/>
      <c r="AV20" s="930"/>
      <c r="AW20" s="930"/>
      <c r="AX20" s="930"/>
      <c r="AY20" s="930"/>
      <c r="AZ20" s="930"/>
      <c r="BA20" s="930"/>
      <c r="BB20" s="930"/>
      <c r="BC20" s="930"/>
      <c r="BD20" s="930"/>
      <c r="BE20" s="930"/>
      <c r="BF20" s="930"/>
      <c r="BG20" s="930"/>
      <c r="BH20" s="930"/>
      <c r="BI20" s="930"/>
      <c r="BJ20" s="930"/>
      <c r="BK20" s="930"/>
      <c r="BL20" s="930"/>
      <c r="BM20" s="930"/>
      <c r="BN20" s="930"/>
      <c r="BO20" s="930"/>
      <c r="BP20" s="930"/>
      <c r="BQ20" s="930"/>
      <c r="BR20" s="930"/>
      <c r="BS20" s="930"/>
      <c r="BT20" s="930"/>
      <c r="BU20" s="930"/>
      <c r="BV20" s="930"/>
      <c r="BW20" s="930"/>
      <c r="BX20" s="930"/>
      <c r="BY20" s="930"/>
      <c r="BZ20" s="930"/>
      <c r="CA20" s="930"/>
      <c r="CB20" s="930"/>
      <c r="CC20" s="930"/>
      <c r="CD20" s="930"/>
      <c r="CE20" s="930"/>
      <c r="CF20" s="930"/>
      <c r="CG20" s="930"/>
      <c r="CH20" s="930"/>
      <c r="CI20" s="930"/>
      <c r="CJ20" s="930"/>
      <c r="CK20" s="930"/>
      <c r="CL20" s="930"/>
      <c r="CM20" s="930"/>
      <c r="CN20" s="930"/>
      <c r="CO20" s="930"/>
      <c r="CP20" s="930"/>
      <c r="CQ20" s="930"/>
      <c r="CR20" s="930"/>
      <c r="CS20" s="930"/>
      <c r="CT20" s="930"/>
      <c r="CU20" s="930"/>
      <c r="CV20" s="930"/>
      <c r="CW20" s="930"/>
      <c r="CX20" s="930"/>
      <c r="CY20" s="930"/>
      <c r="CZ20" s="930"/>
      <c r="DA20" s="930"/>
      <c r="DB20" s="930"/>
      <c r="DC20" s="930"/>
      <c r="DD20" s="930"/>
      <c r="DE20" s="930"/>
      <c r="DF20" s="930"/>
      <c r="DG20" s="930"/>
      <c r="DH20" s="930"/>
      <c r="DI20" s="930"/>
      <c r="DJ20" s="930"/>
      <c r="DK20" s="930"/>
      <c r="DL20" s="930"/>
      <c r="DM20" s="930"/>
      <c r="DN20" s="930"/>
      <c r="DO20" s="930"/>
      <c r="DP20" s="930"/>
      <c r="DQ20" s="930"/>
      <c r="DR20" s="930"/>
      <c r="DS20" s="930"/>
      <c r="DT20" s="930"/>
      <c r="DU20" s="930"/>
      <c r="DV20" s="930"/>
      <c r="DW20" s="930"/>
      <c r="DX20" s="930"/>
      <c r="DY20" s="930"/>
      <c r="DZ20" s="930"/>
      <c r="EA20" s="930"/>
      <c r="EB20" s="930"/>
      <c r="EC20" s="930"/>
      <c r="ED20" s="930"/>
      <c r="EE20" s="930"/>
      <c r="EF20" s="930"/>
      <c r="EG20" s="930"/>
      <c r="EH20" s="930"/>
      <c r="EI20" s="930"/>
      <c r="EJ20" s="930"/>
      <c r="EK20" s="930"/>
      <c r="EL20" s="930"/>
      <c r="EM20" s="930"/>
      <c r="EN20" s="930"/>
      <c r="EO20" s="930"/>
      <c r="EP20" s="930"/>
      <c r="EQ20" s="930"/>
      <c r="ER20" s="930"/>
      <c r="ES20" s="930"/>
      <c r="ET20" s="930"/>
      <c r="EU20" s="930"/>
      <c r="EV20" s="930"/>
      <c r="EW20" s="930"/>
      <c r="EX20" s="930"/>
      <c r="EY20" s="930"/>
      <c r="EZ20" s="930"/>
      <c r="FA20" s="930"/>
      <c r="FB20" s="930"/>
      <c r="FC20" s="930"/>
      <c r="FD20" s="930"/>
      <c r="FE20" s="930"/>
      <c r="FF20" s="930"/>
      <c r="FG20" s="930"/>
      <c r="FH20" s="930"/>
      <c r="FI20" s="930"/>
      <c r="FJ20" s="930"/>
      <c r="FK20" s="930"/>
      <c r="FL20" s="930"/>
      <c r="FM20" s="930"/>
      <c r="FN20" s="930"/>
      <c r="FO20" s="930"/>
      <c r="FP20" s="930"/>
      <c r="FQ20" s="930"/>
      <c r="FR20" s="930"/>
      <c r="FS20" s="930"/>
      <c r="FT20" s="930"/>
      <c r="FU20" s="930"/>
      <c r="FV20" s="930"/>
      <c r="FW20" s="930"/>
      <c r="FX20" s="930"/>
      <c r="FY20" s="930"/>
      <c r="FZ20" s="930"/>
      <c r="GA20" s="930"/>
      <c r="GB20" s="930"/>
      <c r="GC20" s="930"/>
      <c r="GD20" s="930"/>
      <c r="GE20" s="930"/>
      <c r="GF20" s="930"/>
      <c r="GG20" s="930"/>
      <c r="GH20" s="930"/>
      <c r="GI20" s="930"/>
      <c r="GJ20" s="930"/>
      <c r="GK20" s="930"/>
      <c r="GL20" s="930"/>
      <c r="GM20" s="930"/>
      <c r="GN20" s="930"/>
      <c r="GO20" s="930"/>
      <c r="GP20" s="930"/>
      <c r="GQ20" s="930"/>
      <c r="GR20" s="930"/>
      <c r="GS20" s="930"/>
      <c r="GT20" s="930"/>
      <c r="GU20" s="930"/>
      <c r="GV20" s="930"/>
      <c r="GW20" s="930"/>
      <c r="GX20" s="930"/>
      <c r="GY20" s="930"/>
      <c r="GZ20" s="930"/>
      <c r="HA20" s="930"/>
      <c r="HB20" s="930"/>
      <c r="HC20" s="930"/>
      <c r="HD20" s="930"/>
      <c r="HE20" s="930"/>
      <c r="HF20" s="930"/>
      <c r="HG20" s="930"/>
      <c r="HH20" s="930"/>
      <c r="HI20" s="930"/>
      <c r="HJ20" s="930"/>
      <c r="HK20" s="930"/>
      <c r="HL20" s="930"/>
      <c r="HM20" s="930"/>
      <c r="HN20" s="930"/>
      <c r="HO20" s="930"/>
      <c r="HP20" s="930"/>
      <c r="HQ20" s="930"/>
      <c r="HR20" s="930"/>
      <c r="HS20" s="930"/>
      <c r="HT20" s="930"/>
      <c r="HU20" s="930"/>
      <c r="HV20" s="930"/>
      <c r="HW20" s="930"/>
      <c r="HX20" s="930"/>
      <c r="HY20" s="930"/>
      <c r="HZ20" s="930"/>
      <c r="IA20" s="930"/>
      <c r="IB20" s="930"/>
      <c r="IC20" s="930"/>
      <c r="ID20" s="930"/>
      <c r="IE20" s="930"/>
      <c r="IF20" s="930"/>
      <c r="IG20" s="930"/>
      <c r="IH20" s="930"/>
      <c r="II20" s="930"/>
      <c r="IJ20" s="930"/>
      <c r="IK20" s="930"/>
      <c r="IL20" s="930"/>
      <c r="IM20" s="930"/>
      <c r="IN20" s="930"/>
      <c r="IO20" s="930"/>
      <c r="IP20" s="930"/>
      <c r="IQ20" s="930"/>
      <c r="IR20" s="930"/>
      <c r="IS20" s="930"/>
      <c r="IT20" s="930"/>
      <c r="IU20" s="930"/>
      <c r="IV20" s="930"/>
    </row>
    <row r="21" spans="1:256">
      <c r="A21" s="935">
        <f t="shared" si="2"/>
        <v>8</v>
      </c>
      <c r="B21" s="931" t="s">
        <v>360</v>
      </c>
      <c r="C21" s="942">
        <f t="shared" si="3"/>
        <v>-469482.91666666669</v>
      </c>
      <c r="D21" s="942">
        <f>D20+C21</f>
        <v>-1013777442.2599998</v>
      </c>
      <c r="E21" s="931">
        <v>31</v>
      </c>
      <c r="F21" s="869">
        <v>276</v>
      </c>
      <c r="G21" s="943">
        <f t="shared" si="0"/>
        <v>0.75616438356164384</v>
      </c>
      <c r="H21" s="942">
        <f t="shared" si="1"/>
        <v>-355006.26027397264</v>
      </c>
      <c r="I21" s="942">
        <f t="shared" si="4"/>
        <v>-1013549775.2017807</v>
      </c>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0"/>
      <c r="AY21" s="930"/>
      <c r="AZ21" s="930"/>
      <c r="BA21" s="930"/>
      <c r="BB21" s="930"/>
      <c r="BC21" s="930"/>
      <c r="BD21" s="930"/>
      <c r="BE21" s="930"/>
      <c r="BF21" s="930"/>
      <c r="BG21" s="930"/>
      <c r="BH21" s="930"/>
      <c r="BI21" s="930"/>
      <c r="BJ21" s="930"/>
      <c r="BK21" s="930"/>
      <c r="BL21" s="930"/>
      <c r="BM21" s="930"/>
      <c r="BN21" s="930"/>
      <c r="BO21" s="930"/>
      <c r="BP21" s="930"/>
      <c r="BQ21" s="930"/>
      <c r="BR21" s="930"/>
      <c r="BS21" s="930"/>
      <c r="BT21" s="930"/>
      <c r="BU21" s="930"/>
      <c r="BV21" s="930"/>
      <c r="BW21" s="930"/>
      <c r="BX21" s="930"/>
      <c r="BY21" s="930"/>
      <c r="BZ21" s="930"/>
      <c r="CA21" s="930"/>
      <c r="CB21" s="930"/>
      <c r="CC21" s="930"/>
      <c r="CD21" s="930"/>
      <c r="CE21" s="930"/>
      <c r="CF21" s="930"/>
      <c r="CG21" s="930"/>
      <c r="CH21" s="930"/>
      <c r="CI21" s="930"/>
      <c r="CJ21" s="930"/>
      <c r="CK21" s="930"/>
      <c r="CL21" s="930"/>
      <c r="CM21" s="930"/>
      <c r="CN21" s="930"/>
      <c r="CO21" s="930"/>
      <c r="CP21" s="930"/>
      <c r="CQ21" s="930"/>
      <c r="CR21" s="930"/>
      <c r="CS21" s="930"/>
      <c r="CT21" s="930"/>
      <c r="CU21" s="930"/>
      <c r="CV21" s="930"/>
      <c r="CW21" s="930"/>
      <c r="CX21" s="930"/>
      <c r="CY21" s="930"/>
      <c r="CZ21" s="930"/>
      <c r="DA21" s="930"/>
      <c r="DB21" s="930"/>
      <c r="DC21" s="930"/>
      <c r="DD21" s="930"/>
      <c r="DE21" s="930"/>
      <c r="DF21" s="930"/>
      <c r="DG21" s="930"/>
      <c r="DH21" s="930"/>
      <c r="DI21" s="930"/>
      <c r="DJ21" s="930"/>
      <c r="DK21" s="930"/>
      <c r="DL21" s="930"/>
      <c r="DM21" s="930"/>
      <c r="DN21" s="930"/>
      <c r="DO21" s="930"/>
      <c r="DP21" s="930"/>
      <c r="DQ21" s="930"/>
      <c r="DR21" s="930"/>
      <c r="DS21" s="930"/>
      <c r="DT21" s="930"/>
      <c r="DU21" s="930"/>
      <c r="DV21" s="930"/>
      <c r="DW21" s="930"/>
      <c r="DX21" s="930"/>
      <c r="DY21" s="930"/>
      <c r="DZ21" s="930"/>
      <c r="EA21" s="930"/>
      <c r="EB21" s="930"/>
      <c r="EC21" s="930"/>
      <c r="ED21" s="930"/>
      <c r="EE21" s="930"/>
      <c r="EF21" s="930"/>
      <c r="EG21" s="930"/>
      <c r="EH21" s="930"/>
      <c r="EI21" s="930"/>
      <c r="EJ21" s="930"/>
      <c r="EK21" s="930"/>
      <c r="EL21" s="930"/>
      <c r="EM21" s="930"/>
      <c r="EN21" s="930"/>
      <c r="EO21" s="930"/>
      <c r="EP21" s="930"/>
      <c r="EQ21" s="930"/>
      <c r="ER21" s="930"/>
      <c r="ES21" s="930"/>
      <c r="ET21" s="930"/>
      <c r="EU21" s="930"/>
      <c r="EV21" s="930"/>
      <c r="EW21" s="930"/>
      <c r="EX21" s="930"/>
      <c r="EY21" s="930"/>
      <c r="EZ21" s="930"/>
      <c r="FA21" s="930"/>
      <c r="FB21" s="930"/>
      <c r="FC21" s="930"/>
      <c r="FD21" s="930"/>
      <c r="FE21" s="930"/>
      <c r="FF21" s="930"/>
      <c r="FG21" s="930"/>
      <c r="FH21" s="930"/>
      <c r="FI21" s="930"/>
      <c r="FJ21" s="930"/>
      <c r="FK21" s="930"/>
      <c r="FL21" s="930"/>
      <c r="FM21" s="930"/>
      <c r="FN21" s="930"/>
      <c r="FO21" s="930"/>
      <c r="FP21" s="930"/>
      <c r="FQ21" s="930"/>
      <c r="FR21" s="930"/>
      <c r="FS21" s="930"/>
      <c r="FT21" s="930"/>
      <c r="FU21" s="930"/>
      <c r="FV21" s="930"/>
      <c r="FW21" s="930"/>
      <c r="FX21" s="930"/>
      <c r="FY21" s="930"/>
      <c r="FZ21" s="930"/>
      <c r="GA21" s="930"/>
      <c r="GB21" s="930"/>
      <c r="GC21" s="930"/>
      <c r="GD21" s="930"/>
      <c r="GE21" s="930"/>
      <c r="GF21" s="930"/>
      <c r="GG21" s="930"/>
      <c r="GH21" s="930"/>
      <c r="GI21" s="930"/>
      <c r="GJ21" s="930"/>
      <c r="GK21" s="930"/>
      <c r="GL21" s="930"/>
      <c r="GM21" s="930"/>
      <c r="GN21" s="930"/>
      <c r="GO21" s="930"/>
      <c r="GP21" s="930"/>
      <c r="GQ21" s="930"/>
      <c r="GR21" s="930"/>
      <c r="GS21" s="930"/>
      <c r="GT21" s="930"/>
      <c r="GU21" s="930"/>
      <c r="GV21" s="930"/>
      <c r="GW21" s="930"/>
      <c r="GX21" s="930"/>
      <c r="GY21" s="930"/>
      <c r="GZ21" s="930"/>
      <c r="HA21" s="930"/>
      <c r="HB21" s="930"/>
      <c r="HC21" s="930"/>
      <c r="HD21" s="930"/>
      <c r="HE21" s="930"/>
      <c r="HF21" s="930"/>
      <c r="HG21" s="930"/>
      <c r="HH21" s="930"/>
      <c r="HI21" s="930"/>
      <c r="HJ21" s="930"/>
      <c r="HK21" s="930"/>
      <c r="HL21" s="930"/>
      <c r="HM21" s="930"/>
      <c r="HN21" s="930"/>
      <c r="HO21" s="930"/>
      <c r="HP21" s="930"/>
      <c r="HQ21" s="930"/>
      <c r="HR21" s="930"/>
      <c r="HS21" s="930"/>
      <c r="HT21" s="930"/>
      <c r="HU21" s="930"/>
      <c r="HV21" s="930"/>
      <c r="HW21" s="930"/>
      <c r="HX21" s="930"/>
      <c r="HY21" s="930"/>
      <c r="HZ21" s="930"/>
      <c r="IA21" s="930"/>
      <c r="IB21" s="930"/>
      <c r="IC21" s="930"/>
      <c r="ID21" s="930"/>
      <c r="IE21" s="930"/>
      <c r="IF21" s="930"/>
      <c r="IG21" s="930"/>
      <c r="IH21" s="930"/>
      <c r="II21" s="930"/>
      <c r="IJ21" s="930"/>
      <c r="IK21" s="930"/>
      <c r="IL21" s="930"/>
      <c r="IM21" s="930"/>
      <c r="IN21" s="930"/>
      <c r="IO21" s="930"/>
      <c r="IP21" s="930"/>
      <c r="IQ21" s="930"/>
      <c r="IR21" s="930"/>
      <c r="IS21" s="930"/>
      <c r="IT21" s="930"/>
      <c r="IU21" s="930"/>
      <c r="IV21" s="930"/>
    </row>
    <row r="22" spans="1:256">
      <c r="A22" s="935">
        <f t="shared" si="2"/>
        <v>9</v>
      </c>
      <c r="B22" s="931" t="s">
        <v>361</v>
      </c>
      <c r="C22" s="942">
        <f t="shared" si="3"/>
        <v>-469482.91666666669</v>
      </c>
      <c r="D22" s="942">
        <f t="shared" ref="D22:D30" si="5">D21+C22</f>
        <v>-1014246925.1766664</v>
      </c>
      <c r="E22" s="931">
        <v>30</v>
      </c>
      <c r="F22" s="869">
        <v>246</v>
      </c>
      <c r="G22" s="943">
        <f t="shared" si="0"/>
        <v>0.67397260273972603</v>
      </c>
      <c r="H22" s="942">
        <f t="shared" si="1"/>
        <v>-316418.62328767125</v>
      </c>
      <c r="I22" s="942">
        <f t="shared" si="4"/>
        <v>-1013866193.8250684</v>
      </c>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0"/>
      <c r="AY22" s="930"/>
      <c r="AZ22" s="930"/>
      <c r="BA22" s="930"/>
      <c r="BB22" s="930"/>
      <c r="BC22" s="930"/>
      <c r="BD22" s="930"/>
      <c r="BE22" s="930"/>
      <c r="BF22" s="930"/>
      <c r="BG22" s="930"/>
      <c r="BH22" s="930"/>
      <c r="BI22" s="930"/>
      <c r="BJ22" s="930"/>
      <c r="BK22" s="930"/>
      <c r="BL22" s="930"/>
      <c r="BM22" s="930"/>
      <c r="BN22" s="930"/>
      <c r="BO22" s="930"/>
      <c r="BP22" s="930"/>
      <c r="BQ22" s="930"/>
      <c r="BR22" s="930"/>
      <c r="BS22" s="930"/>
      <c r="BT22" s="930"/>
      <c r="BU22" s="930"/>
      <c r="BV22" s="930"/>
      <c r="BW22" s="930"/>
      <c r="BX22" s="930"/>
      <c r="BY22" s="930"/>
      <c r="BZ22" s="930"/>
      <c r="CA22" s="930"/>
      <c r="CB22" s="930"/>
      <c r="CC22" s="930"/>
      <c r="CD22" s="930"/>
      <c r="CE22" s="930"/>
      <c r="CF22" s="930"/>
      <c r="CG22" s="930"/>
      <c r="CH22" s="930"/>
      <c r="CI22" s="930"/>
      <c r="CJ22" s="930"/>
      <c r="CK22" s="930"/>
      <c r="CL22" s="930"/>
      <c r="CM22" s="930"/>
      <c r="CN22" s="930"/>
      <c r="CO22" s="930"/>
      <c r="CP22" s="930"/>
      <c r="CQ22" s="930"/>
      <c r="CR22" s="930"/>
      <c r="CS22" s="930"/>
      <c r="CT22" s="930"/>
      <c r="CU22" s="930"/>
      <c r="CV22" s="930"/>
      <c r="CW22" s="930"/>
      <c r="CX22" s="930"/>
      <c r="CY22" s="930"/>
      <c r="CZ22" s="930"/>
      <c r="DA22" s="930"/>
      <c r="DB22" s="930"/>
      <c r="DC22" s="930"/>
      <c r="DD22" s="930"/>
      <c r="DE22" s="930"/>
      <c r="DF22" s="930"/>
      <c r="DG22" s="930"/>
      <c r="DH22" s="930"/>
      <c r="DI22" s="930"/>
      <c r="DJ22" s="930"/>
      <c r="DK22" s="930"/>
      <c r="DL22" s="930"/>
      <c r="DM22" s="930"/>
      <c r="DN22" s="930"/>
      <c r="DO22" s="930"/>
      <c r="DP22" s="930"/>
      <c r="DQ22" s="930"/>
      <c r="DR22" s="930"/>
      <c r="DS22" s="930"/>
      <c r="DT22" s="930"/>
      <c r="DU22" s="930"/>
      <c r="DV22" s="930"/>
      <c r="DW22" s="930"/>
      <c r="DX22" s="930"/>
      <c r="DY22" s="930"/>
      <c r="DZ22" s="930"/>
      <c r="EA22" s="930"/>
      <c r="EB22" s="930"/>
      <c r="EC22" s="930"/>
      <c r="ED22" s="930"/>
      <c r="EE22" s="930"/>
      <c r="EF22" s="930"/>
      <c r="EG22" s="930"/>
      <c r="EH22" s="930"/>
      <c r="EI22" s="930"/>
      <c r="EJ22" s="930"/>
      <c r="EK22" s="930"/>
      <c r="EL22" s="930"/>
      <c r="EM22" s="930"/>
      <c r="EN22" s="930"/>
      <c r="EO22" s="930"/>
      <c r="EP22" s="930"/>
      <c r="EQ22" s="930"/>
      <c r="ER22" s="930"/>
      <c r="ES22" s="930"/>
      <c r="ET22" s="930"/>
      <c r="EU22" s="930"/>
      <c r="EV22" s="930"/>
      <c r="EW22" s="930"/>
      <c r="EX22" s="930"/>
      <c r="EY22" s="930"/>
      <c r="EZ22" s="930"/>
      <c r="FA22" s="930"/>
      <c r="FB22" s="930"/>
      <c r="FC22" s="930"/>
      <c r="FD22" s="930"/>
      <c r="FE22" s="930"/>
      <c r="FF22" s="930"/>
      <c r="FG22" s="930"/>
      <c r="FH22" s="930"/>
      <c r="FI22" s="930"/>
      <c r="FJ22" s="930"/>
      <c r="FK22" s="930"/>
      <c r="FL22" s="930"/>
      <c r="FM22" s="930"/>
      <c r="FN22" s="930"/>
      <c r="FO22" s="930"/>
      <c r="FP22" s="930"/>
      <c r="FQ22" s="930"/>
      <c r="FR22" s="930"/>
      <c r="FS22" s="930"/>
      <c r="FT22" s="930"/>
      <c r="FU22" s="930"/>
      <c r="FV22" s="930"/>
      <c r="FW22" s="930"/>
      <c r="FX22" s="930"/>
      <c r="FY22" s="930"/>
      <c r="FZ22" s="930"/>
      <c r="GA22" s="930"/>
      <c r="GB22" s="930"/>
      <c r="GC22" s="930"/>
      <c r="GD22" s="930"/>
      <c r="GE22" s="930"/>
      <c r="GF22" s="930"/>
      <c r="GG22" s="930"/>
      <c r="GH22" s="930"/>
      <c r="GI22" s="930"/>
      <c r="GJ22" s="930"/>
      <c r="GK22" s="930"/>
      <c r="GL22" s="930"/>
      <c r="GM22" s="930"/>
      <c r="GN22" s="930"/>
      <c r="GO22" s="930"/>
      <c r="GP22" s="930"/>
      <c r="GQ22" s="930"/>
      <c r="GR22" s="930"/>
      <c r="GS22" s="930"/>
      <c r="GT22" s="930"/>
      <c r="GU22" s="930"/>
      <c r="GV22" s="930"/>
      <c r="GW22" s="930"/>
      <c r="GX22" s="930"/>
      <c r="GY22" s="930"/>
      <c r="GZ22" s="930"/>
      <c r="HA22" s="930"/>
      <c r="HB22" s="930"/>
      <c r="HC22" s="930"/>
      <c r="HD22" s="930"/>
      <c r="HE22" s="930"/>
      <c r="HF22" s="930"/>
      <c r="HG22" s="930"/>
      <c r="HH22" s="930"/>
      <c r="HI22" s="930"/>
      <c r="HJ22" s="930"/>
      <c r="HK22" s="930"/>
      <c r="HL22" s="930"/>
      <c r="HM22" s="930"/>
      <c r="HN22" s="930"/>
      <c r="HO22" s="930"/>
      <c r="HP22" s="930"/>
      <c r="HQ22" s="930"/>
      <c r="HR22" s="930"/>
      <c r="HS22" s="930"/>
      <c r="HT22" s="930"/>
      <c r="HU22" s="930"/>
      <c r="HV22" s="930"/>
      <c r="HW22" s="930"/>
      <c r="HX22" s="930"/>
      <c r="HY22" s="930"/>
      <c r="HZ22" s="930"/>
      <c r="IA22" s="930"/>
      <c r="IB22" s="930"/>
      <c r="IC22" s="930"/>
      <c r="ID22" s="930"/>
      <c r="IE22" s="930"/>
      <c r="IF22" s="930"/>
      <c r="IG22" s="930"/>
      <c r="IH22" s="930"/>
      <c r="II22" s="930"/>
      <c r="IJ22" s="930"/>
      <c r="IK22" s="930"/>
      <c r="IL22" s="930"/>
      <c r="IM22" s="930"/>
      <c r="IN22" s="930"/>
      <c r="IO22" s="930"/>
      <c r="IP22" s="930"/>
      <c r="IQ22" s="930"/>
      <c r="IR22" s="930"/>
      <c r="IS22" s="930"/>
      <c r="IT22" s="930"/>
      <c r="IU22" s="930"/>
      <c r="IV22" s="930"/>
    </row>
    <row r="23" spans="1:256">
      <c r="A23" s="935">
        <f t="shared" si="2"/>
        <v>10</v>
      </c>
      <c r="B23" s="931" t="s">
        <v>362</v>
      </c>
      <c r="C23" s="942">
        <f t="shared" si="3"/>
        <v>-469482.91666666669</v>
      </c>
      <c r="D23" s="942">
        <f t="shared" si="5"/>
        <v>-1014716408.093333</v>
      </c>
      <c r="E23" s="931">
        <v>31</v>
      </c>
      <c r="F23" s="869">
        <v>215</v>
      </c>
      <c r="G23" s="943">
        <f t="shared" si="0"/>
        <v>0.58904109589041098</v>
      </c>
      <c r="H23" s="942">
        <f t="shared" si="1"/>
        <v>-276544.73173515982</v>
      </c>
      <c r="I23" s="942">
        <f>I22+H23</f>
        <v>-1014142738.5568035</v>
      </c>
      <c r="J23" s="930"/>
      <c r="K23" s="930"/>
      <c r="L23" s="930"/>
      <c r="M23" s="930"/>
      <c r="N23" s="930"/>
      <c r="O23" s="930"/>
      <c r="P23" s="930"/>
      <c r="Q23" s="930"/>
      <c r="R23" s="930"/>
      <c r="S23" s="930"/>
      <c r="T23" s="930"/>
      <c r="U23" s="930"/>
      <c r="V23" s="930"/>
      <c r="W23" s="930"/>
      <c r="X23" s="930"/>
      <c r="Y23" s="930"/>
      <c r="Z23" s="930"/>
      <c r="AA23" s="930"/>
      <c r="AB23" s="930"/>
      <c r="AC23" s="930"/>
      <c r="AD23" s="930"/>
      <c r="AE23" s="930"/>
      <c r="AF23" s="930"/>
      <c r="AG23" s="930"/>
      <c r="AH23" s="930"/>
      <c r="AI23" s="930"/>
      <c r="AJ23" s="930"/>
      <c r="AK23" s="930"/>
      <c r="AL23" s="930"/>
      <c r="AM23" s="930"/>
      <c r="AN23" s="930"/>
      <c r="AO23" s="930"/>
      <c r="AP23" s="930"/>
      <c r="AQ23" s="930"/>
      <c r="AR23" s="930"/>
      <c r="AS23" s="930"/>
      <c r="AT23" s="930"/>
      <c r="AU23" s="930"/>
      <c r="AV23" s="930"/>
      <c r="AW23" s="930"/>
      <c r="AX23" s="930"/>
      <c r="AY23" s="930"/>
      <c r="AZ23" s="930"/>
      <c r="BA23" s="930"/>
      <c r="BB23" s="930"/>
      <c r="BC23" s="930"/>
      <c r="BD23" s="930"/>
      <c r="BE23" s="930"/>
      <c r="BF23" s="930"/>
      <c r="BG23" s="930"/>
      <c r="BH23" s="930"/>
      <c r="BI23" s="930"/>
      <c r="BJ23" s="930"/>
      <c r="BK23" s="930"/>
      <c r="BL23" s="930"/>
      <c r="BM23" s="930"/>
      <c r="BN23" s="930"/>
      <c r="BO23" s="930"/>
      <c r="BP23" s="930"/>
      <c r="BQ23" s="930"/>
      <c r="BR23" s="930"/>
      <c r="BS23" s="930"/>
      <c r="BT23" s="930"/>
      <c r="BU23" s="930"/>
      <c r="BV23" s="930"/>
      <c r="BW23" s="930"/>
      <c r="BX23" s="930"/>
      <c r="BY23" s="930"/>
      <c r="BZ23" s="930"/>
      <c r="CA23" s="930"/>
      <c r="CB23" s="930"/>
      <c r="CC23" s="930"/>
      <c r="CD23" s="930"/>
      <c r="CE23" s="930"/>
      <c r="CF23" s="930"/>
      <c r="CG23" s="930"/>
      <c r="CH23" s="930"/>
      <c r="CI23" s="930"/>
      <c r="CJ23" s="930"/>
      <c r="CK23" s="930"/>
      <c r="CL23" s="930"/>
      <c r="CM23" s="930"/>
      <c r="CN23" s="930"/>
      <c r="CO23" s="930"/>
      <c r="CP23" s="930"/>
      <c r="CQ23" s="930"/>
      <c r="CR23" s="930"/>
      <c r="CS23" s="930"/>
      <c r="CT23" s="930"/>
      <c r="CU23" s="930"/>
      <c r="CV23" s="930"/>
      <c r="CW23" s="930"/>
      <c r="CX23" s="930"/>
      <c r="CY23" s="930"/>
      <c r="CZ23" s="930"/>
      <c r="DA23" s="930"/>
      <c r="DB23" s="930"/>
      <c r="DC23" s="930"/>
      <c r="DD23" s="930"/>
      <c r="DE23" s="930"/>
      <c r="DF23" s="930"/>
      <c r="DG23" s="930"/>
      <c r="DH23" s="930"/>
      <c r="DI23" s="930"/>
      <c r="DJ23" s="930"/>
      <c r="DK23" s="930"/>
      <c r="DL23" s="930"/>
      <c r="DM23" s="930"/>
      <c r="DN23" s="930"/>
      <c r="DO23" s="930"/>
      <c r="DP23" s="930"/>
      <c r="DQ23" s="930"/>
      <c r="DR23" s="930"/>
      <c r="DS23" s="930"/>
      <c r="DT23" s="930"/>
      <c r="DU23" s="930"/>
      <c r="DV23" s="930"/>
      <c r="DW23" s="930"/>
      <c r="DX23" s="930"/>
      <c r="DY23" s="930"/>
      <c r="DZ23" s="930"/>
      <c r="EA23" s="930"/>
      <c r="EB23" s="930"/>
      <c r="EC23" s="930"/>
      <c r="ED23" s="930"/>
      <c r="EE23" s="930"/>
      <c r="EF23" s="930"/>
      <c r="EG23" s="930"/>
      <c r="EH23" s="930"/>
      <c r="EI23" s="930"/>
      <c r="EJ23" s="930"/>
      <c r="EK23" s="930"/>
      <c r="EL23" s="930"/>
      <c r="EM23" s="930"/>
      <c r="EN23" s="930"/>
      <c r="EO23" s="930"/>
      <c r="EP23" s="930"/>
      <c r="EQ23" s="930"/>
      <c r="ER23" s="930"/>
      <c r="ES23" s="930"/>
      <c r="ET23" s="930"/>
      <c r="EU23" s="930"/>
      <c r="EV23" s="930"/>
      <c r="EW23" s="930"/>
      <c r="EX23" s="930"/>
      <c r="EY23" s="930"/>
      <c r="EZ23" s="930"/>
      <c r="FA23" s="930"/>
      <c r="FB23" s="930"/>
      <c r="FC23" s="930"/>
      <c r="FD23" s="930"/>
      <c r="FE23" s="930"/>
      <c r="FF23" s="930"/>
      <c r="FG23" s="930"/>
      <c r="FH23" s="930"/>
      <c r="FI23" s="930"/>
      <c r="FJ23" s="930"/>
      <c r="FK23" s="930"/>
      <c r="FL23" s="930"/>
      <c r="FM23" s="930"/>
      <c r="FN23" s="930"/>
      <c r="FO23" s="930"/>
      <c r="FP23" s="930"/>
      <c r="FQ23" s="930"/>
      <c r="FR23" s="930"/>
      <c r="FS23" s="930"/>
      <c r="FT23" s="930"/>
      <c r="FU23" s="930"/>
      <c r="FV23" s="930"/>
      <c r="FW23" s="930"/>
      <c r="FX23" s="930"/>
      <c r="FY23" s="930"/>
      <c r="FZ23" s="930"/>
      <c r="GA23" s="930"/>
      <c r="GB23" s="930"/>
      <c r="GC23" s="930"/>
      <c r="GD23" s="930"/>
      <c r="GE23" s="930"/>
      <c r="GF23" s="930"/>
      <c r="GG23" s="930"/>
      <c r="GH23" s="930"/>
      <c r="GI23" s="930"/>
      <c r="GJ23" s="930"/>
      <c r="GK23" s="930"/>
      <c r="GL23" s="930"/>
      <c r="GM23" s="930"/>
      <c r="GN23" s="930"/>
      <c r="GO23" s="930"/>
      <c r="GP23" s="930"/>
      <c r="GQ23" s="930"/>
      <c r="GR23" s="930"/>
      <c r="GS23" s="930"/>
      <c r="GT23" s="930"/>
      <c r="GU23" s="930"/>
      <c r="GV23" s="930"/>
      <c r="GW23" s="930"/>
      <c r="GX23" s="930"/>
      <c r="GY23" s="930"/>
      <c r="GZ23" s="930"/>
      <c r="HA23" s="930"/>
      <c r="HB23" s="930"/>
      <c r="HC23" s="930"/>
      <c r="HD23" s="930"/>
      <c r="HE23" s="930"/>
      <c r="HF23" s="930"/>
      <c r="HG23" s="930"/>
      <c r="HH23" s="930"/>
      <c r="HI23" s="930"/>
      <c r="HJ23" s="930"/>
      <c r="HK23" s="930"/>
      <c r="HL23" s="930"/>
      <c r="HM23" s="930"/>
      <c r="HN23" s="930"/>
      <c r="HO23" s="930"/>
      <c r="HP23" s="930"/>
      <c r="HQ23" s="930"/>
      <c r="HR23" s="930"/>
      <c r="HS23" s="930"/>
      <c r="HT23" s="930"/>
      <c r="HU23" s="930"/>
      <c r="HV23" s="930"/>
      <c r="HW23" s="930"/>
      <c r="HX23" s="930"/>
      <c r="HY23" s="930"/>
      <c r="HZ23" s="930"/>
      <c r="IA23" s="930"/>
      <c r="IB23" s="930"/>
      <c r="IC23" s="930"/>
      <c r="ID23" s="930"/>
      <c r="IE23" s="930"/>
      <c r="IF23" s="930"/>
      <c r="IG23" s="930"/>
      <c r="IH23" s="930"/>
      <c r="II23" s="930"/>
      <c r="IJ23" s="930"/>
      <c r="IK23" s="930"/>
      <c r="IL23" s="930"/>
      <c r="IM23" s="930"/>
      <c r="IN23" s="930"/>
      <c r="IO23" s="930"/>
      <c r="IP23" s="930"/>
      <c r="IQ23" s="930"/>
      <c r="IR23" s="930"/>
      <c r="IS23" s="930"/>
      <c r="IT23" s="930"/>
      <c r="IU23" s="930"/>
      <c r="IV23" s="930"/>
    </row>
    <row r="24" spans="1:256">
      <c r="A24" s="935">
        <f t="shared" si="2"/>
        <v>11</v>
      </c>
      <c r="B24" s="931" t="s">
        <v>62</v>
      </c>
      <c r="C24" s="942">
        <f t="shared" si="3"/>
        <v>-469482.91666666669</v>
      </c>
      <c r="D24" s="942">
        <f t="shared" si="5"/>
        <v>-1015185891.0099996</v>
      </c>
      <c r="E24" s="931">
        <v>30</v>
      </c>
      <c r="F24" s="869">
        <v>185</v>
      </c>
      <c r="G24" s="943">
        <f t="shared" si="0"/>
        <v>0.50684931506849318</v>
      </c>
      <c r="H24" s="942">
        <f t="shared" si="1"/>
        <v>-237957.09474885848</v>
      </c>
      <c r="I24" s="942">
        <f>I23+H24</f>
        <v>-1014380695.6515523</v>
      </c>
      <c r="J24" s="930"/>
      <c r="K24" s="930"/>
      <c r="L24" s="930"/>
      <c r="M24" s="930"/>
      <c r="N24" s="930"/>
      <c r="O24" s="930"/>
      <c r="P24" s="930"/>
      <c r="Q24" s="930"/>
      <c r="R24" s="930"/>
      <c r="S24" s="930"/>
      <c r="T24" s="930"/>
      <c r="U24" s="930"/>
      <c r="V24" s="930"/>
      <c r="W24" s="930"/>
      <c r="X24" s="930"/>
      <c r="Y24" s="930"/>
      <c r="Z24" s="930"/>
      <c r="AA24" s="930"/>
      <c r="AB24" s="930"/>
      <c r="AC24" s="930"/>
      <c r="AD24" s="930"/>
      <c r="AE24" s="930"/>
      <c r="AF24" s="930"/>
      <c r="AG24" s="930"/>
      <c r="AH24" s="930"/>
      <c r="AI24" s="930"/>
      <c r="AJ24" s="930"/>
      <c r="AK24" s="930"/>
      <c r="AL24" s="930"/>
      <c r="AM24" s="930"/>
      <c r="AN24" s="930"/>
      <c r="AO24" s="930"/>
      <c r="AP24" s="930"/>
      <c r="AQ24" s="930"/>
      <c r="AR24" s="930"/>
      <c r="AS24" s="930"/>
      <c r="AT24" s="930"/>
      <c r="AU24" s="930"/>
      <c r="AV24" s="930"/>
      <c r="AW24" s="930"/>
      <c r="AX24" s="930"/>
      <c r="AY24" s="930"/>
      <c r="AZ24" s="930"/>
      <c r="BA24" s="930"/>
      <c r="BB24" s="930"/>
      <c r="BC24" s="930"/>
      <c r="BD24" s="930"/>
      <c r="BE24" s="930"/>
      <c r="BF24" s="930"/>
      <c r="BG24" s="930"/>
      <c r="BH24" s="930"/>
      <c r="BI24" s="930"/>
      <c r="BJ24" s="930"/>
      <c r="BK24" s="930"/>
      <c r="BL24" s="930"/>
      <c r="BM24" s="930"/>
      <c r="BN24" s="930"/>
      <c r="BO24" s="930"/>
      <c r="BP24" s="930"/>
      <c r="BQ24" s="930"/>
      <c r="BR24" s="930"/>
      <c r="BS24" s="930"/>
      <c r="BT24" s="930"/>
      <c r="BU24" s="930"/>
      <c r="BV24" s="930"/>
      <c r="BW24" s="930"/>
      <c r="BX24" s="930"/>
      <c r="BY24" s="930"/>
      <c r="BZ24" s="930"/>
      <c r="CA24" s="930"/>
      <c r="CB24" s="930"/>
      <c r="CC24" s="930"/>
      <c r="CD24" s="930"/>
      <c r="CE24" s="930"/>
      <c r="CF24" s="930"/>
      <c r="CG24" s="930"/>
      <c r="CH24" s="930"/>
      <c r="CI24" s="930"/>
      <c r="CJ24" s="930"/>
      <c r="CK24" s="930"/>
      <c r="CL24" s="930"/>
      <c r="CM24" s="930"/>
      <c r="CN24" s="930"/>
      <c r="CO24" s="930"/>
      <c r="CP24" s="930"/>
      <c r="CQ24" s="930"/>
      <c r="CR24" s="930"/>
      <c r="CS24" s="930"/>
      <c r="CT24" s="930"/>
      <c r="CU24" s="930"/>
      <c r="CV24" s="930"/>
      <c r="CW24" s="930"/>
      <c r="CX24" s="930"/>
      <c r="CY24" s="930"/>
      <c r="CZ24" s="930"/>
      <c r="DA24" s="930"/>
      <c r="DB24" s="930"/>
      <c r="DC24" s="930"/>
      <c r="DD24" s="930"/>
      <c r="DE24" s="930"/>
      <c r="DF24" s="930"/>
      <c r="DG24" s="930"/>
      <c r="DH24" s="930"/>
      <c r="DI24" s="930"/>
      <c r="DJ24" s="930"/>
      <c r="DK24" s="930"/>
      <c r="DL24" s="930"/>
      <c r="DM24" s="930"/>
      <c r="DN24" s="930"/>
      <c r="DO24" s="930"/>
      <c r="DP24" s="930"/>
      <c r="DQ24" s="930"/>
      <c r="DR24" s="930"/>
      <c r="DS24" s="930"/>
      <c r="DT24" s="930"/>
      <c r="DU24" s="930"/>
      <c r="DV24" s="930"/>
      <c r="DW24" s="930"/>
      <c r="DX24" s="930"/>
      <c r="DY24" s="930"/>
      <c r="DZ24" s="930"/>
      <c r="EA24" s="930"/>
      <c r="EB24" s="930"/>
      <c r="EC24" s="930"/>
      <c r="ED24" s="930"/>
      <c r="EE24" s="930"/>
      <c r="EF24" s="930"/>
      <c r="EG24" s="930"/>
      <c r="EH24" s="930"/>
      <c r="EI24" s="930"/>
      <c r="EJ24" s="930"/>
      <c r="EK24" s="930"/>
      <c r="EL24" s="930"/>
      <c r="EM24" s="930"/>
      <c r="EN24" s="930"/>
      <c r="EO24" s="930"/>
      <c r="EP24" s="930"/>
      <c r="EQ24" s="930"/>
      <c r="ER24" s="930"/>
      <c r="ES24" s="930"/>
      <c r="ET24" s="930"/>
      <c r="EU24" s="930"/>
      <c r="EV24" s="930"/>
      <c r="EW24" s="930"/>
      <c r="EX24" s="930"/>
      <c r="EY24" s="930"/>
      <c r="EZ24" s="930"/>
      <c r="FA24" s="930"/>
      <c r="FB24" s="930"/>
      <c r="FC24" s="930"/>
      <c r="FD24" s="930"/>
      <c r="FE24" s="930"/>
      <c r="FF24" s="930"/>
      <c r="FG24" s="930"/>
      <c r="FH24" s="930"/>
      <c r="FI24" s="930"/>
      <c r="FJ24" s="930"/>
      <c r="FK24" s="930"/>
      <c r="FL24" s="930"/>
      <c r="FM24" s="930"/>
      <c r="FN24" s="930"/>
      <c r="FO24" s="930"/>
      <c r="FP24" s="930"/>
      <c r="FQ24" s="930"/>
      <c r="FR24" s="930"/>
      <c r="FS24" s="930"/>
      <c r="FT24" s="930"/>
      <c r="FU24" s="930"/>
      <c r="FV24" s="930"/>
      <c r="FW24" s="930"/>
      <c r="FX24" s="930"/>
      <c r="FY24" s="930"/>
      <c r="FZ24" s="930"/>
      <c r="GA24" s="930"/>
      <c r="GB24" s="930"/>
      <c r="GC24" s="930"/>
      <c r="GD24" s="930"/>
      <c r="GE24" s="930"/>
      <c r="GF24" s="930"/>
      <c r="GG24" s="930"/>
      <c r="GH24" s="930"/>
      <c r="GI24" s="930"/>
      <c r="GJ24" s="930"/>
      <c r="GK24" s="930"/>
      <c r="GL24" s="930"/>
      <c r="GM24" s="930"/>
      <c r="GN24" s="930"/>
      <c r="GO24" s="930"/>
      <c r="GP24" s="930"/>
      <c r="GQ24" s="930"/>
      <c r="GR24" s="930"/>
      <c r="GS24" s="930"/>
      <c r="GT24" s="930"/>
      <c r="GU24" s="930"/>
      <c r="GV24" s="930"/>
      <c r="GW24" s="930"/>
      <c r="GX24" s="930"/>
      <c r="GY24" s="930"/>
      <c r="GZ24" s="930"/>
      <c r="HA24" s="930"/>
      <c r="HB24" s="930"/>
      <c r="HC24" s="930"/>
      <c r="HD24" s="930"/>
      <c r="HE24" s="930"/>
      <c r="HF24" s="930"/>
      <c r="HG24" s="930"/>
      <c r="HH24" s="930"/>
      <c r="HI24" s="930"/>
      <c r="HJ24" s="930"/>
      <c r="HK24" s="930"/>
      <c r="HL24" s="930"/>
      <c r="HM24" s="930"/>
      <c r="HN24" s="930"/>
      <c r="HO24" s="930"/>
      <c r="HP24" s="930"/>
      <c r="HQ24" s="930"/>
      <c r="HR24" s="930"/>
      <c r="HS24" s="930"/>
      <c r="HT24" s="930"/>
      <c r="HU24" s="930"/>
      <c r="HV24" s="930"/>
      <c r="HW24" s="930"/>
      <c r="HX24" s="930"/>
      <c r="HY24" s="930"/>
      <c r="HZ24" s="930"/>
      <c r="IA24" s="930"/>
      <c r="IB24" s="930"/>
      <c r="IC24" s="930"/>
      <c r="ID24" s="930"/>
      <c r="IE24" s="930"/>
      <c r="IF24" s="930"/>
      <c r="IG24" s="930"/>
      <c r="IH24" s="930"/>
      <c r="II24" s="930"/>
      <c r="IJ24" s="930"/>
      <c r="IK24" s="930"/>
      <c r="IL24" s="930"/>
      <c r="IM24" s="930"/>
      <c r="IN24" s="930"/>
      <c r="IO24" s="930"/>
      <c r="IP24" s="930"/>
      <c r="IQ24" s="930"/>
      <c r="IR24" s="930"/>
      <c r="IS24" s="930"/>
      <c r="IT24" s="930"/>
      <c r="IU24" s="930"/>
      <c r="IV24" s="930"/>
    </row>
    <row r="25" spans="1:256">
      <c r="A25" s="935">
        <f t="shared" si="2"/>
        <v>12</v>
      </c>
      <c r="B25" s="931" t="s">
        <v>363</v>
      </c>
      <c r="C25" s="942">
        <f t="shared" si="3"/>
        <v>-469482.91666666669</v>
      </c>
      <c r="D25" s="942">
        <f t="shared" si="5"/>
        <v>-1015655373.9266663</v>
      </c>
      <c r="E25" s="931">
        <v>31</v>
      </c>
      <c r="F25" s="869">
        <v>154</v>
      </c>
      <c r="G25" s="943">
        <f t="shared" si="0"/>
        <v>0.42191780821917807</v>
      </c>
      <c r="H25" s="942">
        <f t="shared" si="1"/>
        <v>-198083.20319634702</v>
      </c>
      <c r="I25" s="942">
        <f t="shared" si="4"/>
        <v>-1014578778.8547487</v>
      </c>
      <c r="J25" s="930"/>
      <c r="K25" s="930"/>
      <c r="L25" s="930"/>
      <c r="M25" s="930"/>
      <c r="N25" s="930"/>
      <c r="O25" s="930"/>
      <c r="P25" s="930"/>
      <c r="Q25" s="930"/>
      <c r="R25" s="930"/>
      <c r="S25" s="930"/>
      <c r="T25" s="930"/>
      <c r="U25" s="930"/>
      <c r="V25" s="930"/>
      <c r="W25" s="930"/>
      <c r="X25" s="930"/>
      <c r="Y25" s="930"/>
      <c r="Z25" s="930"/>
      <c r="AA25" s="930"/>
      <c r="AB25" s="930"/>
      <c r="AC25" s="930"/>
      <c r="AD25" s="930"/>
      <c r="AE25" s="930"/>
      <c r="AF25" s="930"/>
      <c r="AG25" s="930"/>
      <c r="AH25" s="930"/>
      <c r="AI25" s="930"/>
      <c r="AJ25" s="930"/>
      <c r="AK25" s="930"/>
      <c r="AL25" s="930"/>
      <c r="AM25" s="930"/>
      <c r="AN25" s="930"/>
      <c r="AO25" s="930"/>
      <c r="AP25" s="930"/>
      <c r="AQ25" s="930"/>
      <c r="AR25" s="930"/>
      <c r="AS25" s="930"/>
      <c r="AT25" s="930"/>
      <c r="AU25" s="930"/>
      <c r="AV25" s="930"/>
      <c r="AW25" s="930"/>
      <c r="AX25" s="930"/>
      <c r="AY25" s="930"/>
      <c r="AZ25" s="930"/>
      <c r="BA25" s="930"/>
      <c r="BB25" s="930"/>
      <c r="BC25" s="930"/>
      <c r="BD25" s="930"/>
      <c r="BE25" s="930"/>
      <c r="BF25" s="930"/>
      <c r="BG25" s="930"/>
      <c r="BH25" s="930"/>
      <c r="BI25" s="930"/>
      <c r="BJ25" s="930"/>
      <c r="BK25" s="930"/>
      <c r="BL25" s="930"/>
      <c r="BM25" s="930"/>
      <c r="BN25" s="930"/>
      <c r="BO25" s="930"/>
      <c r="BP25" s="930"/>
      <c r="BQ25" s="930"/>
      <c r="BR25" s="930"/>
      <c r="BS25" s="930"/>
      <c r="BT25" s="930"/>
      <c r="BU25" s="930"/>
      <c r="BV25" s="930"/>
      <c r="BW25" s="930"/>
      <c r="BX25" s="930"/>
      <c r="BY25" s="930"/>
      <c r="BZ25" s="930"/>
      <c r="CA25" s="930"/>
      <c r="CB25" s="930"/>
      <c r="CC25" s="930"/>
      <c r="CD25" s="930"/>
      <c r="CE25" s="930"/>
      <c r="CF25" s="930"/>
      <c r="CG25" s="930"/>
      <c r="CH25" s="930"/>
      <c r="CI25" s="930"/>
      <c r="CJ25" s="930"/>
      <c r="CK25" s="930"/>
      <c r="CL25" s="930"/>
      <c r="CM25" s="930"/>
      <c r="CN25" s="930"/>
      <c r="CO25" s="930"/>
      <c r="CP25" s="930"/>
      <c r="CQ25" s="930"/>
      <c r="CR25" s="930"/>
      <c r="CS25" s="930"/>
      <c r="CT25" s="930"/>
      <c r="CU25" s="930"/>
      <c r="CV25" s="930"/>
      <c r="CW25" s="930"/>
      <c r="CX25" s="930"/>
      <c r="CY25" s="930"/>
      <c r="CZ25" s="930"/>
      <c r="DA25" s="930"/>
      <c r="DB25" s="930"/>
      <c r="DC25" s="930"/>
      <c r="DD25" s="930"/>
      <c r="DE25" s="930"/>
      <c r="DF25" s="930"/>
      <c r="DG25" s="930"/>
      <c r="DH25" s="930"/>
      <c r="DI25" s="930"/>
      <c r="DJ25" s="930"/>
      <c r="DK25" s="930"/>
      <c r="DL25" s="930"/>
      <c r="DM25" s="930"/>
      <c r="DN25" s="930"/>
      <c r="DO25" s="930"/>
      <c r="DP25" s="930"/>
      <c r="DQ25" s="930"/>
      <c r="DR25" s="930"/>
      <c r="DS25" s="930"/>
      <c r="DT25" s="930"/>
      <c r="DU25" s="930"/>
      <c r="DV25" s="930"/>
      <c r="DW25" s="930"/>
      <c r="DX25" s="930"/>
      <c r="DY25" s="930"/>
      <c r="DZ25" s="930"/>
      <c r="EA25" s="930"/>
      <c r="EB25" s="930"/>
      <c r="EC25" s="930"/>
      <c r="ED25" s="930"/>
      <c r="EE25" s="930"/>
      <c r="EF25" s="930"/>
      <c r="EG25" s="930"/>
      <c r="EH25" s="930"/>
      <c r="EI25" s="930"/>
      <c r="EJ25" s="930"/>
      <c r="EK25" s="930"/>
      <c r="EL25" s="930"/>
      <c r="EM25" s="930"/>
      <c r="EN25" s="930"/>
      <c r="EO25" s="930"/>
      <c r="EP25" s="930"/>
      <c r="EQ25" s="930"/>
      <c r="ER25" s="930"/>
      <c r="ES25" s="930"/>
      <c r="ET25" s="930"/>
      <c r="EU25" s="930"/>
      <c r="EV25" s="930"/>
      <c r="EW25" s="930"/>
      <c r="EX25" s="930"/>
      <c r="EY25" s="930"/>
      <c r="EZ25" s="930"/>
      <c r="FA25" s="930"/>
      <c r="FB25" s="930"/>
      <c r="FC25" s="930"/>
      <c r="FD25" s="930"/>
      <c r="FE25" s="930"/>
      <c r="FF25" s="930"/>
      <c r="FG25" s="930"/>
      <c r="FH25" s="930"/>
      <c r="FI25" s="930"/>
      <c r="FJ25" s="930"/>
      <c r="FK25" s="930"/>
      <c r="FL25" s="930"/>
      <c r="FM25" s="930"/>
      <c r="FN25" s="930"/>
      <c r="FO25" s="930"/>
      <c r="FP25" s="930"/>
      <c r="FQ25" s="930"/>
      <c r="FR25" s="930"/>
      <c r="FS25" s="930"/>
      <c r="FT25" s="930"/>
      <c r="FU25" s="930"/>
      <c r="FV25" s="930"/>
      <c r="FW25" s="930"/>
      <c r="FX25" s="930"/>
      <c r="FY25" s="930"/>
      <c r="FZ25" s="930"/>
      <c r="GA25" s="930"/>
      <c r="GB25" s="930"/>
      <c r="GC25" s="930"/>
      <c r="GD25" s="930"/>
      <c r="GE25" s="930"/>
      <c r="GF25" s="930"/>
      <c r="GG25" s="930"/>
      <c r="GH25" s="930"/>
      <c r="GI25" s="930"/>
      <c r="GJ25" s="930"/>
      <c r="GK25" s="930"/>
      <c r="GL25" s="930"/>
      <c r="GM25" s="930"/>
      <c r="GN25" s="930"/>
      <c r="GO25" s="930"/>
      <c r="GP25" s="930"/>
      <c r="GQ25" s="930"/>
      <c r="GR25" s="930"/>
      <c r="GS25" s="930"/>
      <c r="GT25" s="930"/>
      <c r="GU25" s="930"/>
      <c r="GV25" s="930"/>
      <c r="GW25" s="930"/>
      <c r="GX25" s="930"/>
      <c r="GY25" s="930"/>
      <c r="GZ25" s="930"/>
      <c r="HA25" s="930"/>
      <c r="HB25" s="930"/>
      <c r="HC25" s="930"/>
      <c r="HD25" s="930"/>
      <c r="HE25" s="930"/>
      <c r="HF25" s="930"/>
      <c r="HG25" s="930"/>
      <c r="HH25" s="930"/>
      <c r="HI25" s="930"/>
      <c r="HJ25" s="930"/>
      <c r="HK25" s="930"/>
      <c r="HL25" s="930"/>
      <c r="HM25" s="930"/>
      <c r="HN25" s="930"/>
      <c r="HO25" s="930"/>
      <c r="HP25" s="930"/>
      <c r="HQ25" s="930"/>
      <c r="HR25" s="930"/>
      <c r="HS25" s="930"/>
      <c r="HT25" s="930"/>
      <c r="HU25" s="930"/>
      <c r="HV25" s="930"/>
      <c r="HW25" s="930"/>
      <c r="HX25" s="930"/>
      <c r="HY25" s="930"/>
      <c r="HZ25" s="930"/>
      <c r="IA25" s="930"/>
      <c r="IB25" s="930"/>
      <c r="IC25" s="930"/>
      <c r="ID25" s="930"/>
      <c r="IE25" s="930"/>
      <c r="IF25" s="930"/>
      <c r="IG25" s="930"/>
      <c r="IH25" s="930"/>
      <c r="II25" s="930"/>
      <c r="IJ25" s="930"/>
      <c r="IK25" s="930"/>
      <c r="IL25" s="930"/>
      <c r="IM25" s="930"/>
      <c r="IN25" s="930"/>
      <c r="IO25" s="930"/>
      <c r="IP25" s="930"/>
      <c r="IQ25" s="930"/>
      <c r="IR25" s="930"/>
      <c r="IS25" s="930"/>
      <c r="IT25" s="930"/>
      <c r="IU25" s="930"/>
      <c r="IV25" s="930"/>
    </row>
    <row r="26" spans="1:256">
      <c r="A26" s="935">
        <f t="shared" si="2"/>
        <v>13</v>
      </c>
      <c r="B26" s="931" t="s">
        <v>364</v>
      </c>
      <c r="C26" s="942">
        <f t="shared" si="3"/>
        <v>-469482.91666666669</v>
      </c>
      <c r="D26" s="942">
        <f t="shared" si="5"/>
        <v>-1016124856.8433329</v>
      </c>
      <c r="E26" s="931">
        <v>31</v>
      </c>
      <c r="F26" s="869">
        <v>123</v>
      </c>
      <c r="G26" s="943">
        <f t="shared" si="0"/>
        <v>0.33698630136986302</v>
      </c>
      <c r="H26" s="942">
        <f t="shared" si="1"/>
        <v>-158209.31164383562</v>
      </c>
      <c r="I26" s="942">
        <f t="shared" si="4"/>
        <v>-1014736988.1663926</v>
      </c>
      <c r="J26" s="930"/>
      <c r="K26" s="930"/>
      <c r="L26" s="930"/>
      <c r="M26" s="930"/>
      <c r="N26" s="930"/>
      <c r="O26" s="930"/>
      <c r="P26" s="930"/>
      <c r="Q26" s="930"/>
      <c r="R26" s="930"/>
      <c r="S26" s="930"/>
      <c r="T26" s="930"/>
      <c r="U26" s="930"/>
      <c r="V26" s="930"/>
      <c r="W26" s="930"/>
      <c r="X26" s="930"/>
      <c r="Y26" s="930"/>
      <c r="Z26" s="930"/>
      <c r="AA26" s="930"/>
      <c r="AB26" s="930"/>
      <c r="AC26" s="930"/>
      <c r="AD26" s="930"/>
      <c r="AE26" s="930"/>
      <c r="AF26" s="930"/>
      <c r="AG26" s="930"/>
      <c r="AH26" s="930"/>
      <c r="AI26" s="930"/>
      <c r="AJ26" s="930"/>
      <c r="AK26" s="930"/>
      <c r="AL26" s="930"/>
      <c r="AM26" s="930"/>
      <c r="AN26" s="930"/>
      <c r="AO26" s="930"/>
      <c r="AP26" s="930"/>
      <c r="AQ26" s="930"/>
      <c r="AR26" s="930"/>
      <c r="AS26" s="930"/>
      <c r="AT26" s="930"/>
      <c r="AU26" s="930"/>
      <c r="AV26" s="930"/>
      <c r="AW26" s="930"/>
      <c r="AX26" s="930"/>
      <c r="AY26" s="930"/>
      <c r="AZ26" s="930"/>
      <c r="BA26" s="930"/>
      <c r="BB26" s="930"/>
      <c r="BC26" s="930"/>
      <c r="BD26" s="930"/>
      <c r="BE26" s="930"/>
      <c r="BF26" s="930"/>
      <c r="BG26" s="930"/>
      <c r="BH26" s="930"/>
      <c r="BI26" s="930"/>
      <c r="BJ26" s="930"/>
      <c r="BK26" s="930"/>
      <c r="BL26" s="930"/>
      <c r="BM26" s="930"/>
      <c r="BN26" s="930"/>
      <c r="BO26" s="930"/>
      <c r="BP26" s="930"/>
      <c r="BQ26" s="930"/>
      <c r="BR26" s="930"/>
      <c r="BS26" s="930"/>
      <c r="BT26" s="930"/>
      <c r="BU26" s="930"/>
      <c r="BV26" s="930"/>
      <c r="BW26" s="930"/>
      <c r="BX26" s="930"/>
      <c r="BY26" s="930"/>
      <c r="BZ26" s="930"/>
      <c r="CA26" s="930"/>
      <c r="CB26" s="930"/>
      <c r="CC26" s="930"/>
      <c r="CD26" s="930"/>
      <c r="CE26" s="930"/>
      <c r="CF26" s="930"/>
      <c r="CG26" s="930"/>
      <c r="CH26" s="930"/>
      <c r="CI26" s="930"/>
      <c r="CJ26" s="930"/>
      <c r="CK26" s="930"/>
      <c r="CL26" s="930"/>
      <c r="CM26" s="930"/>
      <c r="CN26" s="930"/>
      <c r="CO26" s="930"/>
      <c r="CP26" s="930"/>
      <c r="CQ26" s="930"/>
      <c r="CR26" s="930"/>
      <c r="CS26" s="930"/>
      <c r="CT26" s="930"/>
      <c r="CU26" s="930"/>
      <c r="CV26" s="930"/>
      <c r="CW26" s="930"/>
      <c r="CX26" s="930"/>
      <c r="CY26" s="930"/>
      <c r="CZ26" s="930"/>
      <c r="DA26" s="930"/>
      <c r="DB26" s="930"/>
      <c r="DC26" s="930"/>
      <c r="DD26" s="930"/>
      <c r="DE26" s="930"/>
      <c r="DF26" s="930"/>
      <c r="DG26" s="930"/>
      <c r="DH26" s="930"/>
      <c r="DI26" s="930"/>
      <c r="DJ26" s="930"/>
      <c r="DK26" s="930"/>
      <c r="DL26" s="930"/>
      <c r="DM26" s="930"/>
      <c r="DN26" s="930"/>
      <c r="DO26" s="930"/>
      <c r="DP26" s="930"/>
      <c r="DQ26" s="930"/>
      <c r="DR26" s="930"/>
      <c r="DS26" s="930"/>
      <c r="DT26" s="930"/>
      <c r="DU26" s="930"/>
      <c r="DV26" s="930"/>
      <c r="DW26" s="930"/>
      <c r="DX26" s="930"/>
      <c r="DY26" s="930"/>
      <c r="DZ26" s="930"/>
      <c r="EA26" s="930"/>
      <c r="EB26" s="930"/>
      <c r="EC26" s="930"/>
      <c r="ED26" s="930"/>
      <c r="EE26" s="930"/>
      <c r="EF26" s="930"/>
      <c r="EG26" s="930"/>
      <c r="EH26" s="930"/>
      <c r="EI26" s="930"/>
      <c r="EJ26" s="930"/>
      <c r="EK26" s="930"/>
      <c r="EL26" s="930"/>
      <c r="EM26" s="930"/>
      <c r="EN26" s="930"/>
      <c r="EO26" s="930"/>
      <c r="EP26" s="930"/>
      <c r="EQ26" s="930"/>
      <c r="ER26" s="930"/>
      <c r="ES26" s="930"/>
      <c r="ET26" s="930"/>
      <c r="EU26" s="930"/>
      <c r="EV26" s="930"/>
      <c r="EW26" s="930"/>
      <c r="EX26" s="930"/>
      <c r="EY26" s="930"/>
      <c r="EZ26" s="930"/>
      <c r="FA26" s="930"/>
      <c r="FB26" s="930"/>
      <c r="FC26" s="930"/>
      <c r="FD26" s="930"/>
      <c r="FE26" s="930"/>
      <c r="FF26" s="930"/>
      <c r="FG26" s="930"/>
      <c r="FH26" s="930"/>
      <c r="FI26" s="930"/>
      <c r="FJ26" s="930"/>
      <c r="FK26" s="930"/>
      <c r="FL26" s="930"/>
      <c r="FM26" s="930"/>
      <c r="FN26" s="930"/>
      <c r="FO26" s="930"/>
      <c r="FP26" s="930"/>
      <c r="FQ26" s="930"/>
      <c r="FR26" s="930"/>
      <c r="FS26" s="930"/>
      <c r="FT26" s="930"/>
      <c r="FU26" s="930"/>
      <c r="FV26" s="930"/>
      <c r="FW26" s="930"/>
      <c r="FX26" s="930"/>
      <c r="FY26" s="930"/>
      <c r="FZ26" s="930"/>
      <c r="GA26" s="930"/>
      <c r="GB26" s="930"/>
      <c r="GC26" s="930"/>
      <c r="GD26" s="930"/>
      <c r="GE26" s="930"/>
      <c r="GF26" s="930"/>
      <c r="GG26" s="930"/>
      <c r="GH26" s="930"/>
      <c r="GI26" s="930"/>
      <c r="GJ26" s="930"/>
      <c r="GK26" s="930"/>
      <c r="GL26" s="930"/>
      <c r="GM26" s="930"/>
      <c r="GN26" s="930"/>
      <c r="GO26" s="930"/>
      <c r="GP26" s="930"/>
      <c r="GQ26" s="930"/>
      <c r="GR26" s="930"/>
      <c r="GS26" s="930"/>
      <c r="GT26" s="930"/>
      <c r="GU26" s="930"/>
      <c r="GV26" s="930"/>
      <c r="GW26" s="930"/>
      <c r="GX26" s="930"/>
      <c r="GY26" s="930"/>
      <c r="GZ26" s="930"/>
      <c r="HA26" s="930"/>
      <c r="HB26" s="930"/>
      <c r="HC26" s="930"/>
      <c r="HD26" s="930"/>
      <c r="HE26" s="930"/>
      <c r="HF26" s="930"/>
      <c r="HG26" s="930"/>
      <c r="HH26" s="930"/>
      <c r="HI26" s="930"/>
      <c r="HJ26" s="930"/>
      <c r="HK26" s="930"/>
      <c r="HL26" s="930"/>
      <c r="HM26" s="930"/>
      <c r="HN26" s="930"/>
      <c r="HO26" s="930"/>
      <c r="HP26" s="930"/>
      <c r="HQ26" s="930"/>
      <c r="HR26" s="930"/>
      <c r="HS26" s="930"/>
      <c r="HT26" s="930"/>
      <c r="HU26" s="930"/>
      <c r="HV26" s="930"/>
      <c r="HW26" s="930"/>
      <c r="HX26" s="930"/>
      <c r="HY26" s="930"/>
      <c r="HZ26" s="930"/>
      <c r="IA26" s="930"/>
      <c r="IB26" s="930"/>
      <c r="IC26" s="930"/>
      <c r="ID26" s="930"/>
      <c r="IE26" s="930"/>
      <c r="IF26" s="930"/>
      <c r="IG26" s="930"/>
      <c r="IH26" s="930"/>
      <c r="II26" s="930"/>
      <c r="IJ26" s="930"/>
      <c r="IK26" s="930"/>
      <c r="IL26" s="930"/>
      <c r="IM26" s="930"/>
      <c r="IN26" s="930"/>
      <c r="IO26" s="930"/>
      <c r="IP26" s="930"/>
      <c r="IQ26" s="930"/>
      <c r="IR26" s="930"/>
      <c r="IS26" s="930"/>
      <c r="IT26" s="930"/>
      <c r="IU26" s="930"/>
      <c r="IV26" s="930"/>
    </row>
    <row r="27" spans="1:256">
      <c r="A27" s="935">
        <f t="shared" si="2"/>
        <v>14</v>
      </c>
      <c r="B27" s="931" t="s">
        <v>366</v>
      </c>
      <c r="C27" s="942">
        <f t="shared" si="3"/>
        <v>-469482.91666666669</v>
      </c>
      <c r="D27" s="942">
        <f t="shared" si="5"/>
        <v>-1016594339.7599995</v>
      </c>
      <c r="E27" s="931">
        <v>30</v>
      </c>
      <c r="F27" s="869">
        <v>93</v>
      </c>
      <c r="G27" s="943">
        <f t="shared" si="0"/>
        <v>0.25479452054794521</v>
      </c>
      <c r="H27" s="942">
        <f t="shared" si="1"/>
        <v>-119621.67465753425</v>
      </c>
      <c r="I27" s="942">
        <f t="shared" si="4"/>
        <v>-1014856609.8410501</v>
      </c>
      <c r="J27" s="930"/>
      <c r="K27" s="930"/>
      <c r="L27" s="930"/>
      <c r="M27" s="930"/>
      <c r="N27" s="930"/>
      <c r="O27" s="930"/>
      <c r="P27" s="930"/>
      <c r="Q27" s="930"/>
      <c r="R27" s="930"/>
      <c r="S27" s="930"/>
      <c r="T27" s="930"/>
      <c r="U27" s="930"/>
      <c r="V27" s="930"/>
      <c r="W27" s="930"/>
      <c r="X27" s="930"/>
      <c r="Y27" s="930"/>
      <c r="Z27" s="930"/>
      <c r="AA27" s="930"/>
      <c r="AB27" s="930"/>
      <c r="AC27" s="930"/>
      <c r="AD27" s="930"/>
      <c r="AE27" s="930"/>
      <c r="AF27" s="930"/>
      <c r="AG27" s="930"/>
      <c r="AH27" s="930"/>
      <c r="AI27" s="930"/>
      <c r="AJ27" s="930"/>
      <c r="AK27" s="930"/>
      <c r="AL27" s="930"/>
      <c r="AM27" s="930"/>
      <c r="AN27" s="930"/>
      <c r="AO27" s="930"/>
      <c r="AP27" s="930"/>
      <c r="AQ27" s="930"/>
      <c r="AR27" s="930"/>
      <c r="AS27" s="930"/>
      <c r="AT27" s="930"/>
      <c r="AU27" s="930"/>
      <c r="AV27" s="930"/>
      <c r="AW27" s="930"/>
      <c r="AX27" s="930"/>
      <c r="AY27" s="930"/>
      <c r="AZ27" s="930"/>
      <c r="BA27" s="930"/>
      <c r="BB27" s="930"/>
      <c r="BC27" s="930"/>
      <c r="BD27" s="930"/>
      <c r="BE27" s="930"/>
      <c r="BF27" s="930"/>
      <c r="BG27" s="930"/>
      <c r="BH27" s="930"/>
      <c r="BI27" s="930"/>
      <c r="BJ27" s="930"/>
      <c r="BK27" s="930"/>
      <c r="BL27" s="930"/>
      <c r="BM27" s="930"/>
      <c r="BN27" s="930"/>
      <c r="BO27" s="930"/>
      <c r="BP27" s="930"/>
      <c r="BQ27" s="930"/>
      <c r="BR27" s="930"/>
      <c r="BS27" s="930"/>
      <c r="BT27" s="930"/>
      <c r="BU27" s="930"/>
      <c r="BV27" s="930"/>
      <c r="BW27" s="930"/>
      <c r="BX27" s="930"/>
      <c r="BY27" s="930"/>
      <c r="BZ27" s="930"/>
      <c r="CA27" s="930"/>
      <c r="CB27" s="930"/>
      <c r="CC27" s="930"/>
      <c r="CD27" s="930"/>
      <c r="CE27" s="930"/>
      <c r="CF27" s="930"/>
      <c r="CG27" s="930"/>
      <c r="CH27" s="930"/>
      <c r="CI27" s="930"/>
      <c r="CJ27" s="930"/>
      <c r="CK27" s="930"/>
      <c r="CL27" s="930"/>
      <c r="CM27" s="930"/>
      <c r="CN27" s="930"/>
      <c r="CO27" s="930"/>
      <c r="CP27" s="930"/>
      <c r="CQ27" s="930"/>
      <c r="CR27" s="930"/>
      <c r="CS27" s="930"/>
      <c r="CT27" s="930"/>
      <c r="CU27" s="930"/>
      <c r="CV27" s="930"/>
      <c r="CW27" s="930"/>
      <c r="CX27" s="930"/>
      <c r="CY27" s="930"/>
      <c r="CZ27" s="930"/>
      <c r="DA27" s="930"/>
      <c r="DB27" s="930"/>
      <c r="DC27" s="930"/>
      <c r="DD27" s="930"/>
      <c r="DE27" s="930"/>
      <c r="DF27" s="930"/>
      <c r="DG27" s="930"/>
      <c r="DH27" s="930"/>
      <c r="DI27" s="930"/>
      <c r="DJ27" s="930"/>
      <c r="DK27" s="930"/>
      <c r="DL27" s="930"/>
      <c r="DM27" s="930"/>
      <c r="DN27" s="930"/>
      <c r="DO27" s="930"/>
      <c r="DP27" s="930"/>
      <c r="DQ27" s="930"/>
      <c r="DR27" s="930"/>
      <c r="DS27" s="930"/>
      <c r="DT27" s="930"/>
      <c r="DU27" s="930"/>
      <c r="DV27" s="930"/>
      <c r="DW27" s="930"/>
      <c r="DX27" s="930"/>
      <c r="DY27" s="930"/>
      <c r="DZ27" s="930"/>
      <c r="EA27" s="930"/>
      <c r="EB27" s="930"/>
      <c r="EC27" s="930"/>
      <c r="ED27" s="930"/>
      <c r="EE27" s="930"/>
      <c r="EF27" s="930"/>
      <c r="EG27" s="930"/>
      <c r="EH27" s="930"/>
      <c r="EI27" s="930"/>
      <c r="EJ27" s="930"/>
      <c r="EK27" s="930"/>
      <c r="EL27" s="930"/>
      <c r="EM27" s="930"/>
      <c r="EN27" s="930"/>
      <c r="EO27" s="930"/>
      <c r="EP27" s="930"/>
      <c r="EQ27" s="930"/>
      <c r="ER27" s="930"/>
      <c r="ES27" s="930"/>
      <c r="ET27" s="930"/>
      <c r="EU27" s="930"/>
      <c r="EV27" s="930"/>
      <c r="EW27" s="930"/>
      <c r="EX27" s="930"/>
      <c r="EY27" s="930"/>
      <c r="EZ27" s="930"/>
      <c r="FA27" s="930"/>
      <c r="FB27" s="930"/>
      <c r="FC27" s="930"/>
      <c r="FD27" s="930"/>
      <c r="FE27" s="930"/>
      <c r="FF27" s="930"/>
      <c r="FG27" s="930"/>
      <c r="FH27" s="930"/>
      <c r="FI27" s="930"/>
      <c r="FJ27" s="930"/>
      <c r="FK27" s="930"/>
      <c r="FL27" s="930"/>
      <c r="FM27" s="930"/>
      <c r="FN27" s="930"/>
      <c r="FO27" s="930"/>
      <c r="FP27" s="930"/>
      <c r="FQ27" s="930"/>
      <c r="FR27" s="930"/>
      <c r="FS27" s="930"/>
      <c r="FT27" s="930"/>
      <c r="FU27" s="930"/>
      <c r="FV27" s="930"/>
      <c r="FW27" s="930"/>
      <c r="FX27" s="930"/>
      <c r="FY27" s="930"/>
      <c r="FZ27" s="930"/>
      <c r="GA27" s="930"/>
      <c r="GB27" s="930"/>
      <c r="GC27" s="930"/>
      <c r="GD27" s="930"/>
      <c r="GE27" s="930"/>
      <c r="GF27" s="930"/>
      <c r="GG27" s="930"/>
      <c r="GH27" s="930"/>
      <c r="GI27" s="930"/>
      <c r="GJ27" s="930"/>
      <c r="GK27" s="930"/>
      <c r="GL27" s="930"/>
      <c r="GM27" s="930"/>
      <c r="GN27" s="930"/>
      <c r="GO27" s="930"/>
      <c r="GP27" s="930"/>
      <c r="GQ27" s="930"/>
      <c r="GR27" s="930"/>
      <c r="GS27" s="930"/>
      <c r="GT27" s="930"/>
      <c r="GU27" s="930"/>
      <c r="GV27" s="930"/>
      <c r="GW27" s="930"/>
      <c r="GX27" s="930"/>
      <c r="GY27" s="930"/>
      <c r="GZ27" s="930"/>
      <c r="HA27" s="930"/>
      <c r="HB27" s="930"/>
      <c r="HC27" s="930"/>
      <c r="HD27" s="930"/>
      <c r="HE27" s="930"/>
      <c r="HF27" s="930"/>
      <c r="HG27" s="930"/>
      <c r="HH27" s="930"/>
      <c r="HI27" s="930"/>
      <c r="HJ27" s="930"/>
      <c r="HK27" s="930"/>
      <c r="HL27" s="930"/>
      <c r="HM27" s="930"/>
      <c r="HN27" s="930"/>
      <c r="HO27" s="930"/>
      <c r="HP27" s="930"/>
      <c r="HQ27" s="930"/>
      <c r="HR27" s="930"/>
      <c r="HS27" s="930"/>
      <c r="HT27" s="930"/>
      <c r="HU27" s="930"/>
      <c r="HV27" s="930"/>
      <c r="HW27" s="930"/>
      <c r="HX27" s="930"/>
      <c r="HY27" s="930"/>
      <c r="HZ27" s="930"/>
      <c r="IA27" s="930"/>
      <c r="IB27" s="930"/>
      <c r="IC27" s="930"/>
      <c r="ID27" s="930"/>
      <c r="IE27" s="930"/>
      <c r="IF27" s="930"/>
      <c r="IG27" s="930"/>
      <c r="IH27" s="930"/>
      <c r="II27" s="930"/>
      <c r="IJ27" s="930"/>
      <c r="IK27" s="930"/>
      <c r="IL27" s="930"/>
      <c r="IM27" s="930"/>
      <c r="IN27" s="930"/>
      <c r="IO27" s="930"/>
      <c r="IP27" s="930"/>
      <c r="IQ27" s="930"/>
      <c r="IR27" s="930"/>
      <c r="IS27" s="930"/>
      <c r="IT27" s="930"/>
      <c r="IU27" s="930"/>
      <c r="IV27" s="930"/>
    </row>
    <row r="28" spans="1:256">
      <c r="A28" s="935">
        <f t="shared" si="2"/>
        <v>15</v>
      </c>
      <c r="B28" s="931" t="s">
        <v>569</v>
      </c>
      <c r="C28" s="942">
        <f t="shared" si="3"/>
        <v>-469482.91666666669</v>
      </c>
      <c r="D28" s="942">
        <f t="shared" si="5"/>
        <v>-1017063822.6766661</v>
      </c>
      <c r="E28" s="931">
        <v>31</v>
      </c>
      <c r="F28" s="869">
        <v>62</v>
      </c>
      <c r="G28" s="943">
        <f t="shared" si="0"/>
        <v>0.16986301369863013</v>
      </c>
      <c r="H28" s="942">
        <f t="shared" si="1"/>
        <v>-79747.783105022827</v>
      </c>
      <c r="I28" s="942">
        <f t="shared" si="4"/>
        <v>-1014936357.6241552</v>
      </c>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0"/>
      <c r="AY28" s="930"/>
      <c r="AZ28" s="930"/>
      <c r="BA28" s="930"/>
      <c r="BB28" s="930"/>
      <c r="BC28" s="930"/>
      <c r="BD28" s="930"/>
      <c r="BE28" s="930"/>
      <c r="BF28" s="930"/>
      <c r="BG28" s="930"/>
      <c r="BH28" s="930"/>
      <c r="BI28" s="930"/>
      <c r="BJ28" s="930"/>
      <c r="BK28" s="930"/>
      <c r="BL28" s="930"/>
      <c r="BM28" s="930"/>
      <c r="BN28" s="930"/>
      <c r="BO28" s="930"/>
      <c r="BP28" s="930"/>
      <c r="BQ28" s="930"/>
      <c r="BR28" s="930"/>
      <c r="BS28" s="930"/>
      <c r="BT28" s="930"/>
      <c r="BU28" s="930"/>
      <c r="BV28" s="930"/>
      <c r="BW28" s="930"/>
      <c r="BX28" s="930"/>
      <c r="BY28" s="930"/>
      <c r="BZ28" s="930"/>
      <c r="CA28" s="930"/>
      <c r="CB28" s="930"/>
      <c r="CC28" s="930"/>
      <c r="CD28" s="930"/>
      <c r="CE28" s="930"/>
      <c r="CF28" s="930"/>
      <c r="CG28" s="930"/>
      <c r="CH28" s="930"/>
      <c r="CI28" s="930"/>
      <c r="CJ28" s="930"/>
      <c r="CK28" s="930"/>
      <c r="CL28" s="930"/>
      <c r="CM28" s="930"/>
      <c r="CN28" s="930"/>
      <c r="CO28" s="930"/>
      <c r="CP28" s="930"/>
      <c r="CQ28" s="930"/>
      <c r="CR28" s="930"/>
      <c r="CS28" s="930"/>
      <c r="CT28" s="930"/>
      <c r="CU28" s="930"/>
      <c r="CV28" s="930"/>
      <c r="CW28" s="930"/>
      <c r="CX28" s="930"/>
      <c r="CY28" s="930"/>
      <c r="CZ28" s="930"/>
      <c r="DA28" s="930"/>
      <c r="DB28" s="930"/>
      <c r="DC28" s="930"/>
      <c r="DD28" s="930"/>
      <c r="DE28" s="930"/>
      <c r="DF28" s="930"/>
      <c r="DG28" s="930"/>
      <c r="DH28" s="930"/>
      <c r="DI28" s="930"/>
      <c r="DJ28" s="930"/>
      <c r="DK28" s="930"/>
      <c r="DL28" s="930"/>
      <c r="DM28" s="930"/>
      <c r="DN28" s="930"/>
      <c r="DO28" s="930"/>
      <c r="DP28" s="930"/>
      <c r="DQ28" s="930"/>
      <c r="DR28" s="930"/>
      <c r="DS28" s="930"/>
      <c r="DT28" s="930"/>
      <c r="DU28" s="930"/>
      <c r="DV28" s="930"/>
      <c r="DW28" s="930"/>
      <c r="DX28" s="930"/>
      <c r="DY28" s="930"/>
      <c r="DZ28" s="930"/>
      <c r="EA28" s="930"/>
      <c r="EB28" s="930"/>
      <c r="EC28" s="930"/>
      <c r="ED28" s="930"/>
      <c r="EE28" s="930"/>
      <c r="EF28" s="930"/>
      <c r="EG28" s="930"/>
      <c r="EH28" s="930"/>
      <c r="EI28" s="930"/>
      <c r="EJ28" s="930"/>
      <c r="EK28" s="930"/>
      <c r="EL28" s="930"/>
      <c r="EM28" s="930"/>
      <c r="EN28" s="930"/>
      <c r="EO28" s="930"/>
      <c r="EP28" s="930"/>
      <c r="EQ28" s="930"/>
      <c r="ER28" s="930"/>
      <c r="ES28" s="930"/>
      <c r="ET28" s="930"/>
      <c r="EU28" s="930"/>
      <c r="EV28" s="930"/>
      <c r="EW28" s="930"/>
      <c r="EX28" s="930"/>
      <c r="EY28" s="930"/>
      <c r="EZ28" s="930"/>
      <c r="FA28" s="930"/>
      <c r="FB28" s="930"/>
      <c r="FC28" s="930"/>
      <c r="FD28" s="930"/>
      <c r="FE28" s="930"/>
      <c r="FF28" s="930"/>
      <c r="FG28" s="930"/>
      <c r="FH28" s="930"/>
      <c r="FI28" s="930"/>
      <c r="FJ28" s="930"/>
      <c r="FK28" s="930"/>
      <c r="FL28" s="930"/>
      <c r="FM28" s="930"/>
      <c r="FN28" s="930"/>
      <c r="FO28" s="930"/>
      <c r="FP28" s="930"/>
      <c r="FQ28" s="930"/>
      <c r="FR28" s="930"/>
      <c r="FS28" s="930"/>
      <c r="FT28" s="930"/>
      <c r="FU28" s="930"/>
      <c r="FV28" s="930"/>
      <c r="FW28" s="930"/>
      <c r="FX28" s="930"/>
      <c r="FY28" s="930"/>
      <c r="FZ28" s="930"/>
      <c r="GA28" s="930"/>
      <c r="GB28" s="930"/>
      <c r="GC28" s="930"/>
      <c r="GD28" s="930"/>
      <c r="GE28" s="930"/>
      <c r="GF28" s="930"/>
      <c r="GG28" s="930"/>
      <c r="GH28" s="930"/>
      <c r="GI28" s="930"/>
      <c r="GJ28" s="930"/>
      <c r="GK28" s="930"/>
      <c r="GL28" s="930"/>
      <c r="GM28" s="930"/>
      <c r="GN28" s="930"/>
      <c r="GO28" s="930"/>
      <c r="GP28" s="930"/>
      <c r="GQ28" s="930"/>
      <c r="GR28" s="930"/>
      <c r="GS28" s="930"/>
      <c r="GT28" s="930"/>
      <c r="GU28" s="930"/>
      <c r="GV28" s="930"/>
      <c r="GW28" s="930"/>
      <c r="GX28" s="930"/>
      <c r="GY28" s="930"/>
      <c r="GZ28" s="930"/>
      <c r="HA28" s="930"/>
      <c r="HB28" s="930"/>
      <c r="HC28" s="930"/>
      <c r="HD28" s="930"/>
      <c r="HE28" s="930"/>
      <c r="HF28" s="930"/>
      <c r="HG28" s="930"/>
      <c r="HH28" s="930"/>
      <c r="HI28" s="930"/>
      <c r="HJ28" s="930"/>
      <c r="HK28" s="930"/>
      <c r="HL28" s="930"/>
      <c r="HM28" s="930"/>
      <c r="HN28" s="930"/>
      <c r="HO28" s="930"/>
      <c r="HP28" s="930"/>
      <c r="HQ28" s="930"/>
      <c r="HR28" s="930"/>
      <c r="HS28" s="930"/>
      <c r="HT28" s="930"/>
      <c r="HU28" s="930"/>
      <c r="HV28" s="930"/>
      <c r="HW28" s="930"/>
      <c r="HX28" s="930"/>
      <c r="HY28" s="930"/>
      <c r="HZ28" s="930"/>
      <c r="IA28" s="930"/>
      <c r="IB28" s="930"/>
      <c r="IC28" s="930"/>
      <c r="ID28" s="930"/>
      <c r="IE28" s="930"/>
      <c r="IF28" s="930"/>
      <c r="IG28" s="930"/>
      <c r="IH28" s="930"/>
      <c r="II28" s="930"/>
      <c r="IJ28" s="930"/>
      <c r="IK28" s="930"/>
      <c r="IL28" s="930"/>
      <c r="IM28" s="930"/>
      <c r="IN28" s="930"/>
      <c r="IO28" s="930"/>
      <c r="IP28" s="930"/>
      <c r="IQ28" s="930"/>
      <c r="IR28" s="930"/>
      <c r="IS28" s="930"/>
      <c r="IT28" s="930"/>
      <c r="IU28" s="930"/>
      <c r="IV28" s="930"/>
    </row>
    <row r="29" spans="1:256">
      <c r="A29" s="935">
        <f t="shared" si="2"/>
        <v>16</v>
      </c>
      <c r="B29" s="931" t="s">
        <v>570</v>
      </c>
      <c r="C29" s="942">
        <f t="shared" si="3"/>
        <v>-469482.91666666669</v>
      </c>
      <c r="D29" s="942">
        <f t="shared" si="5"/>
        <v>-1017533305.5933328</v>
      </c>
      <c r="E29" s="931">
        <v>30</v>
      </c>
      <c r="F29" s="869">
        <v>32</v>
      </c>
      <c r="G29" s="943">
        <f t="shared" si="0"/>
        <v>8.7671232876712329E-2</v>
      </c>
      <c r="H29" s="942">
        <f t="shared" si="1"/>
        <v>-41160.146118721466</v>
      </c>
      <c r="I29" s="942">
        <f t="shared" si="4"/>
        <v>-1014977517.7702739</v>
      </c>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0"/>
      <c r="AY29" s="930"/>
      <c r="AZ29" s="930"/>
      <c r="BA29" s="930"/>
      <c r="BB29" s="930"/>
      <c r="BC29" s="930"/>
      <c r="BD29" s="930"/>
      <c r="BE29" s="930"/>
      <c r="BF29" s="930"/>
      <c r="BG29" s="930"/>
      <c r="BH29" s="930"/>
      <c r="BI29" s="930"/>
      <c r="BJ29" s="930"/>
      <c r="BK29" s="930"/>
      <c r="BL29" s="930"/>
      <c r="BM29" s="930"/>
      <c r="BN29" s="930"/>
      <c r="BO29" s="930"/>
      <c r="BP29" s="930"/>
      <c r="BQ29" s="930"/>
      <c r="BR29" s="930"/>
      <c r="BS29" s="930"/>
      <c r="BT29" s="930"/>
      <c r="BU29" s="930"/>
      <c r="BV29" s="930"/>
      <c r="BW29" s="930"/>
      <c r="BX29" s="930"/>
      <c r="BY29" s="930"/>
      <c r="BZ29" s="930"/>
      <c r="CA29" s="930"/>
      <c r="CB29" s="930"/>
      <c r="CC29" s="930"/>
      <c r="CD29" s="930"/>
      <c r="CE29" s="930"/>
      <c r="CF29" s="930"/>
      <c r="CG29" s="930"/>
      <c r="CH29" s="930"/>
      <c r="CI29" s="930"/>
      <c r="CJ29" s="930"/>
      <c r="CK29" s="930"/>
      <c r="CL29" s="930"/>
      <c r="CM29" s="930"/>
      <c r="CN29" s="930"/>
      <c r="CO29" s="930"/>
      <c r="CP29" s="930"/>
      <c r="CQ29" s="930"/>
      <c r="CR29" s="930"/>
      <c r="CS29" s="930"/>
      <c r="CT29" s="930"/>
      <c r="CU29" s="930"/>
      <c r="CV29" s="930"/>
      <c r="CW29" s="930"/>
      <c r="CX29" s="930"/>
      <c r="CY29" s="930"/>
      <c r="CZ29" s="930"/>
      <c r="DA29" s="930"/>
      <c r="DB29" s="930"/>
      <c r="DC29" s="930"/>
      <c r="DD29" s="930"/>
      <c r="DE29" s="930"/>
      <c r="DF29" s="930"/>
      <c r="DG29" s="930"/>
      <c r="DH29" s="930"/>
      <c r="DI29" s="930"/>
      <c r="DJ29" s="930"/>
      <c r="DK29" s="930"/>
      <c r="DL29" s="930"/>
      <c r="DM29" s="930"/>
      <c r="DN29" s="930"/>
      <c r="DO29" s="930"/>
      <c r="DP29" s="930"/>
      <c r="DQ29" s="930"/>
      <c r="DR29" s="930"/>
      <c r="DS29" s="930"/>
      <c r="DT29" s="930"/>
      <c r="DU29" s="930"/>
      <c r="DV29" s="930"/>
      <c r="DW29" s="930"/>
      <c r="DX29" s="930"/>
      <c r="DY29" s="930"/>
      <c r="DZ29" s="930"/>
      <c r="EA29" s="930"/>
      <c r="EB29" s="930"/>
      <c r="EC29" s="930"/>
      <c r="ED29" s="930"/>
      <c r="EE29" s="930"/>
      <c r="EF29" s="930"/>
      <c r="EG29" s="930"/>
      <c r="EH29" s="930"/>
      <c r="EI29" s="930"/>
      <c r="EJ29" s="930"/>
      <c r="EK29" s="930"/>
      <c r="EL29" s="930"/>
      <c r="EM29" s="930"/>
      <c r="EN29" s="930"/>
      <c r="EO29" s="930"/>
      <c r="EP29" s="930"/>
      <c r="EQ29" s="930"/>
      <c r="ER29" s="930"/>
      <c r="ES29" s="930"/>
      <c r="ET29" s="930"/>
      <c r="EU29" s="930"/>
      <c r="EV29" s="930"/>
      <c r="EW29" s="930"/>
      <c r="EX29" s="930"/>
      <c r="EY29" s="930"/>
      <c r="EZ29" s="930"/>
      <c r="FA29" s="930"/>
      <c r="FB29" s="930"/>
      <c r="FC29" s="930"/>
      <c r="FD29" s="930"/>
      <c r="FE29" s="930"/>
      <c r="FF29" s="930"/>
      <c r="FG29" s="930"/>
      <c r="FH29" s="930"/>
      <c r="FI29" s="930"/>
      <c r="FJ29" s="930"/>
      <c r="FK29" s="930"/>
      <c r="FL29" s="930"/>
      <c r="FM29" s="930"/>
      <c r="FN29" s="930"/>
      <c r="FO29" s="930"/>
      <c r="FP29" s="930"/>
      <c r="FQ29" s="930"/>
      <c r="FR29" s="930"/>
      <c r="FS29" s="930"/>
      <c r="FT29" s="930"/>
      <c r="FU29" s="930"/>
      <c r="FV29" s="930"/>
      <c r="FW29" s="930"/>
      <c r="FX29" s="930"/>
      <c r="FY29" s="930"/>
      <c r="FZ29" s="930"/>
      <c r="GA29" s="930"/>
      <c r="GB29" s="930"/>
      <c r="GC29" s="930"/>
      <c r="GD29" s="930"/>
      <c r="GE29" s="930"/>
      <c r="GF29" s="930"/>
      <c r="GG29" s="930"/>
      <c r="GH29" s="930"/>
      <c r="GI29" s="930"/>
      <c r="GJ29" s="930"/>
      <c r="GK29" s="930"/>
      <c r="GL29" s="930"/>
      <c r="GM29" s="930"/>
      <c r="GN29" s="930"/>
      <c r="GO29" s="930"/>
      <c r="GP29" s="930"/>
      <c r="GQ29" s="930"/>
      <c r="GR29" s="930"/>
      <c r="GS29" s="930"/>
      <c r="GT29" s="930"/>
      <c r="GU29" s="930"/>
      <c r="GV29" s="930"/>
      <c r="GW29" s="930"/>
      <c r="GX29" s="930"/>
      <c r="GY29" s="930"/>
      <c r="GZ29" s="930"/>
      <c r="HA29" s="930"/>
      <c r="HB29" s="930"/>
      <c r="HC29" s="930"/>
      <c r="HD29" s="930"/>
      <c r="HE29" s="930"/>
      <c r="HF29" s="930"/>
      <c r="HG29" s="930"/>
      <c r="HH29" s="930"/>
      <c r="HI29" s="930"/>
      <c r="HJ29" s="930"/>
      <c r="HK29" s="930"/>
      <c r="HL29" s="930"/>
      <c r="HM29" s="930"/>
      <c r="HN29" s="930"/>
      <c r="HO29" s="930"/>
      <c r="HP29" s="930"/>
      <c r="HQ29" s="930"/>
      <c r="HR29" s="930"/>
      <c r="HS29" s="930"/>
      <c r="HT29" s="930"/>
      <c r="HU29" s="930"/>
      <c r="HV29" s="930"/>
      <c r="HW29" s="930"/>
      <c r="HX29" s="930"/>
      <c r="HY29" s="930"/>
      <c r="HZ29" s="930"/>
      <c r="IA29" s="930"/>
      <c r="IB29" s="930"/>
      <c r="IC29" s="930"/>
      <c r="ID29" s="930"/>
      <c r="IE29" s="930"/>
      <c r="IF29" s="930"/>
      <c r="IG29" s="930"/>
      <c r="IH29" s="930"/>
      <c r="II29" s="930"/>
      <c r="IJ29" s="930"/>
      <c r="IK29" s="930"/>
      <c r="IL29" s="930"/>
      <c r="IM29" s="930"/>
      <c r="IN29" s="930"/>
      <c r="IO29" s="930"/>
      <c r="IP29" s="930"/>
      <c r="IQ29" s="930"/>
      <c r="IR29" s="930"/>
      <c r="IS29" s="930"/>
      <c r="IT29" s="930"/>
      <c r="IU29" s="930"/>
      <c r="IV29" s="930"/>
    </row>
    <row r="30" spans="1:256">
      <c r="A30" s="935">
        <f t="shared" si="2"/>
        <v>17</v>
      </c>
      <c r="B30" s="931" t="s">
        <v>365</v>
      </c>
      <c r="C30" s="942">
        <f t="shared" si="3"/>
        <v>-469482.91666666669</v>
      </c>
      <c r="D30" s="942">
        <f t="shared" si="5"/>
        <v>-1018002788.5099994</v>
      </c>
      <c r="E30" s="931">
        <v>31</v>
      </c>
      <c r="F30" s="869">
        <f>F29-E30</f>
        <v>1</v>
      </c>
      <c r="G30" s="943">
        <f t="shared" si="0"/>
        <v>2.7397260273972603E-3</v>
      </c>
      <c r="H30" s="942">
        <f t="shared" si="1"/>
        <v>-1286.2545662100458</v>
      </c>
      <c r="I30" s="942">
        <f t="shared" si="4"/>
        <v>-1014978804.0248401</v>
      </c>
      <c r="J30" s="930"/>
      <c r="K30" s="930"/>
      <c r="L30" s="930"/>
      <c r="M30" s="930"/>
      <c r="N30" s="930"/>
      <c r="O30" s="930"/>
      <c r="P30" s="930"/>
      <c r="Q30" s="930"/>
      <c r="R30" s="930"/>
      <c r="S30" s="930"/>
      <c r="T30" s="930"/>
      <c r="U30" s="930"/>
      <c r="V30" s="930"/>
      <c r="W30" s="930"/>
      <c r="X30" s="930"/>
      <c r="Y30" s="930"/>
      <c r="Z30" s="930"/>
      <c r="AA30" s="930"/>
      <c r="AB30" s="930"/>
      <c r="AC30" s="930"/>
      <c r="AD30" s="930"/>
      <c r="AE30" s="930"/>
      <c r="AF30" s="930"/>
      <c r="AG30" s="930"/>
      <c r="AH30" s="930"/>
      <c r="AI30" s="930"/>
      <c r="AJ30" s="930"/>
      <c r="AK30" s="930"/>
      <c r="AL30" s="930"/>
      <c r="AM30" s="930"/>
      <c r="AN30" s="930"/>
      <c r="AO30" s="930"/>
      <c r="AP30" s="930"/>
      <c r="AQ30" s="930"/>
      <c r="AR30" s="930"/>
      <c r="AS30" s="930"/>
      <c r="AT30" s="930"/>
      <c r="AU30" s="930"/>
      <c r="AV30" s="930"/>
      <c r="AW30" s="930"/>
      <c r="AX30" s="930"/>
      <c r="AY30" s="930"/>
      <c r="AZ30" s="930"/>
      <c r="BA30" s="930"/>
      <c r="BB30" s="930"/>
      <c r="BC30" s="930"/>
      <c r="BD30" s="930"/>
      <c r="BE30" s="930"/>
      <c r="BF30" s="930"/>
      <c r="BG30" s="930"/>
      <c r="BH30" s="930"/>
      <c r="BI30" s="930"/>
      <c r="BJ30" s="930"/>
      <c r="BK30" s="930"/>
      <c r="BL30" s="930"/>
      <c r="BM30" s="930"/>
      <c r="BN30" s="930"/>
      <c r="BO30" s="930"/>
      <c r="BP30" s="930"/>
      <c r="BQ30" s="930"/>
      <c r="BR30" s="930"/>
      <c r="BS30" s="930"/>
      <c r="BT30" s="930"/>
      <c r="BU30" s="930"/>
      <c r="BV30" s="930"/>
      <c r="BW30" s="930"/>
      <c r="BX30" s="930"/>
      <c r="BY30" s="930"/>
      <c r="BZ30" s="930"/>
      <c r="CA30" s="930"/>
      <c r="CB30" s="930"/>
      <c r="CC30" s="930"/>
      <c r="CD30" s="930"/>
      <c r="CE30" s="930"/>
      <c r="CF30" s="930"/>
      <c r="CG30" s="930"/>
      <c r="CH30" s="930"/>
      <c r="CI30" s="930"/>
      <c r="CJ30" s="930"/>
      <c r="CK30" s="930"/>
      <c r="CL30" s="930"/>
      <c r="CM30" s="930"/>
      <c r="CN30" s="930"/>
      <c r="CO30" s="930"/>
      <c r="CP30" s="930"/>
      <c r="CQ30" s="930"/>
      <c r="CR30" s="930"/>
      <c r="CS30" s="930"/>
      <c r="CT30" s="930"/>
      <c r="CU30" s="930"/>
      <c r="CV30" s="930"/>
      <c r="CW30" s="930"/>
      <c r="CX30" s="930"/>
      <c r="CY30" s="930"/>
      <c r="CZ30" s="930"/>
      <c r="DA30" s="930"/>
      <c r="DB30" s="930"/>
      <c r="DC30" s="930"/>
      <c r="DD30" s="930"/>
      <c r="DE30" s="930"/>
      <c r="DF30" s="930"/>
      <c r="DG30" s="930"/>
      <c r="DH30" s="930"/>
      <c r="DI30" s="930"/>
      <c r="DJ30" s="930"/>
      <c r="DK30" s="930"/>
      <c r="DL30" s="930"/>
      <c r="DM30" s="930"/>
      <c r="DN30" s="930"/>
      <c r="DO30" s="930"/>
      <c r="DP30" s="930"/>
      <c r="DQ30" s="930"/>
      <c r="DR30" s="930"/>
      <c r="DS30" s="930"/>
      <c r="DT30" s="930"/>
      <c r="DU30" s="930"/>
      <c r="DV30" s="930"/>
      <c r="DW30" s="930"/>
      <c r="DX30" s="930"/>
      <c r="DY30" s="930"/>
      <c r="DZ30" s="930"/>
      <c r="EA30" s="930"/>
      <c r="EB30" s="930"/>
      <c r="EC30" s="930"/>
      <c r="ED30" s="930"/>
      <c r="EE30" s="930"/>
      <c r="EF30" s="930"/>
      <c r="EG30" s="930"/>
      <c r="EH30" s="930"/>
      <c r="EI30" s="930"/>
      <c r="EJ30" s="930"/>
      <c r="EK30" s="930"/>
      <c r="EL30" s="930"/>
      <c r="EM30" s="930"/>
      <c r="EN30" s="930"/>
      <c r="EO30" s="930"/>
      <c r="EP30" s="930"/>
      <c r="EQ30" s="930"/>
      <c r="ER30" s="930"/>
      <c r="ES30" s="930"/>
      <c r="ET30" s="930"/>
      <c r="EU30" s="930"/>
      <c r="EV30" s="930"/>
      <c r="EW30" s="930"/>
      <c r="EX30" s="930"/>
      <c r="EY30" s="930"/>
      <c r="EZ30" s="930"/>
      <c r="FA30" s="930"/>
      <c r="FB30" s="930"/>
      <c r="FC30" s="930"/>
      <c r="FD30" s="930"/>
      <c r="FE30" s="930"/>
      <c r="FF30" s="930"/>
      <c r="FG30" s="930"/>
      <c r="FH30" s="930"/>
      <c r="FI30" s="930"/>
      <c r="FJ30" s="930"/>
      <c r="FK30" s="930"/>
      <c r="FL30" s="930"/>
      <c r="FM30" s="930"/>
      <c r="FN30" s="930"/>
      <c r="FO30" s="930"/>
      <c r="FP30" s="930"/>
      <c r="FQ30" s="930"/>
      <c r="FR30" s="930"/>
      <c r="FS30" s="930"/>
      <c r="FT30" s="930"/>
      <c r="FU30" s="930"/>
      <c r="FV30" s="930"/>
      <c r="FW30" s="930"/>
      <c r="FX30" s="930"/>
      <c r="FY30" s="930"/>
      <c r="FZ30" s="930"/>
      <c r="GA30" s="930"/>
      <c r="GB30" s="930"/>
      <c r="GC30" s="930"/>
      <c r="GD30" s="930"/>
      <c r="GE30" s="930"/>
      <c r="GF30" s="930"/>
      <c r="GG30" s="930"/>
      <c r="GH30" s="930"/>
      <c r="GI30" s="930"/>
      <c r="GJ30" s="930"/>
      <c r="GK30" s="930"/>
      <c r="GL30" s="930"/>
      <c r="GM30" s="930"/>
      <c r="GN30" s="930"/>
      <c r="GO30" s="930"/>
      <c r="GP30" s="930"/>
      <c r="GQ30" s="930"/>
      <c r="GR30" s="930"/>
      <c r="GS30" s="930"/>
      <c r="GT30" s="930"/>
      <c r="GU30" s="930"/>
      <c r="GV30" s="930"/>
      <c r="GW30" s="930"/>
      <c r="GX30" s="930"/>
      <c r="GY30" s="930"/>
      <c r="GZ30" s="930"/>
      <c r="HA30" s="930"/>
      <c r="HB30" s="930"/>
      <c r="HC30" s="930"/>
      <c r="HD30" s="930"/>
      <c r="HE30" s="930"/>
      <c r="HF30" s="930"/>
      <c r="HG30" s="930"/>
      <c r="HH30" s="930"/>
      <c r="HI30" s="930"/>
      <c r="HJ30" s="930"/>
      <c r="HK30" s="930"/>
      <c r="HL30" s="930"/>
      <c r="HM30" s="930"/>
      <c r="HN30" s="930"/>
      <c r="HO30" s="930"/>
      <c r="HP30" s="930"/>
      <c r="HQ30" s="930"/>
      <c r="HR30" s="930"/>
      <c r="HS30" s="930"/>
      <c r="HT30" s="930"/>
      <c r="HU30" s="930"/>
      <c r="HV30" s="930"/>
      <c r="HW30" s="930"/>
      <c r="HX30" s="930"/>
      <c r="HY30" s="930"/>
      <c r="HZ30" s="930"/>
      <c r="IA30" s="930"/>
      <c r="IB30" s="930"/>
      <c r="IC30" s="930"/>
      <c r="ID30" s="930"/>
      <c r="IE30" s="930"/>
      <c r="IF30" s="930"/>
      <c r="IG30" s="930"/>
      <c r="IH30" s="930"/>
      <c r="II30" s="930"/>
      <c r="IJ30" s="930"/>
      <c r="IK30" s="930"/>
      <c r="IL30" s="930"/>
      <c r="IM30" s="930"/>
      <c r="IN30" s="930"/>
      <c r="IO30" s="930"/>
      <c r="IP30" s="930"/>
      <c r="IQ30" s="930"/>
      <c r="IR30" s="930"/>
      <c r="IS30" s="930"/>
      <c r="IT30" s="930"/>
      <c r="IU30" s="930"/>
      <c r="IV30" s="930"/>
    </row>
    <row r="31" spans="1:256">
      <c r="A31" s="935"/>
      <c r="B31" s="931"/>
      <c r="C31" s="944"/>
      <c r="D31" s="944"/>
      <c r="E31" s="931"/>
      <c r="F31" s="931"/>
      <c r="G31" s="931"/>
      <c r="H31" s="944"/>
      <c r="I31" s="944"/>
      <c r="J31" s="930"/>
      <c r="K31" s="930"/>
      <c r="L31" s="930"/>
      <c r="M31" s="930"/>
      <c r="N31" s="930"/>
      <c r="O31" s="930"/>
      <c r="P31" s="930"/>
      <c r="Q31" s="930"/>
      <c r="R31" s="930"/>
      <c r="S31" s="930"/>
      <c r="T31" s="930"/>
      <c r="U31" s="930"/>
      <c r="V31" s="930"/>
      <c r="W31" s="930"/>
      <c r="X31" s="930"/>
      <c r="Y31" s="930"/>
      <c r="Z31" s="930"/>
      <c r="AA31" s="930"/>
      <c r="AB31" s="930"/>
      <c r="AC31" s="930"/>
      <c r="AD31" s="930"/>
      <c r="AE31" s="930"/>
      <c r="AF31" s="930"/>
      <c r="AG31" s="930"/>
      <c r="AH31" s="930"/>
      <c r="AI31" s="930"/>
      <c r="AJ31" s="930"/>
      <c r="AK31" s="930"/>
      <c r="AL31" s="930"/>
      <c r="AM31" s="930"/>
      <c r="AN31" s="930"/>
      <c r="AO31" s="930"/>
      <c r="AP31" s="930"/>
      <c r="AQ31" s="930"/>
      <c r="AR31" s="930"/>
      <c r="AS31" s="930"/>
      <c r="AT31" s="930"/>
      <c r="AU31" s="930"/>
      <c r="AV31" s="930"/>
      <c r="AW31" s="930"/>
      <c r="AX31" s="930"/>
      <c r="AY31" s="930"/>
      <c r="AZ31" s="930"/>
      <c r="BA31" s="930"/>
      <c r="BB31" s="930"/>
      <c r="BC31" s="930"/>
      <c r="BD31" s="930"/>
      <c r="BE31" s="930"/>
      <c r="BF31" s="930"/>
      <c r="BG31" s="930"/>
      <c r="BH31" s="930"/>
      <c r="BI31" s="930"/>
      <c r="BJ31" s="930"/>
      <c r="BK31" s="930"/>
      <c r="BL31" s="930"/>
      <c r="BM31" s="930"/>
      <c r="BN31" s="930"/>
      <c r="BO31" s="930"/>
      <c r="BP31" s="930"/>
      <c r="BQ31" s="930"/>
      <c r="BR31" s="930"/>
      <c r="BS31" s="930"/>
      <c r="BT31" s="930"/>
      <c r="BU31" s="930"/>
      <c r="BV31" s="930"/>
      <c r="BW31" s="930"/>
      <c r="BX31" s="930"/>
      <c r="BY31" s="930"/>
      <c r="BZ31" s="930"/>
      <c r="CA31" s="930"/>
      <c r="CB31" s="930"/>
      <c r="CC31" s="930"/>
      <c r="CD31" s="930"/>
      <c r="CE31" s="930"/>
      <c r="CF31" s="930"/>
      <c r="CG31" s="930"/>
      <c r="CH31" s="930"/>
      <c r="CI31" s="930"/>
      <c r="CJ31" s="930"/>
      <c r="CK31" s="930"/>
      <c r="CL31" s="930"/>
      <c r="CM31" s="930"/>
      <c r="CN31" s="930"/>
      <c r="CO31" s="930"/>
      <c r="CP31" s="930"/>
      <c r="CQ31" s="930"/>
      <c r="CR31" s="930"/>
      <c r="CS31" s="930"/>
      <c r="CT31" s="930"/>
      <c r="CU31" s="930"/>
      <c r="CV31" s="930"/>
      <c r="CW31" s="930"/>
      <c r="CX31" s="930"/>
      <c r="CY31" s="930"/>
      <c r="CZ31" s="930"/>
      <c r="DA31" s="930"/>
      <c r="DB31" s="930"/>
      <c r="DC31" s="930"/>
      <c r="DD31" s="930"/>
      <c r="DE31" s="930"/>
      <c r="DF31" s="930"/>
      <c r="DG31" s="930"/>
      <c r="DH31" s="930"/>
      <c r="DI31" s="930"/>
      <c r="DJ31" s="930"/>
      <c r="DK31" s="930"/>
      <c r="DL31" s="930"/>
      <c r="DM31" s="930"/>
      <c r="DN31" s="930"/>
      <c r="DO31" s="930"/>
      <c r="DP31" s="930"/>
      <c r="DQ31" s="930"/>
      <c r="DR31" s="930"/>
      <c r="DS31" s="930"/>
      <c r="DT31" s="930"/>
      <c r="DU31" s="930"/>
      <c r="DV31" s="930"/>
      <c r="DW31" s="930"/>
      <c r="DX31" s="930"/>
      <c r="DY31" s="930"/>
      <c r="DZ31" s="930"/>
      <c r="EA31" s="930"/>
      <c r="EB31" s="930"/>
      <c r="EC31" s="930"/>
      <c r="ED31" s="930"/>
      <c r="EE31" s="930"/>
      <c r="EF31" s="930"/>
      <c r="EG31" s="930"/>
      <c r="EH31" s="930"/>
      <c r="EI31" s="930"/>
      <c r="EJ31" s="930"/>
      <c r="EK31" s="930"/>
      <c r="EL31" s="930"/>
      <c r="EM31" s="930"/>
      <c r="EN31" s="930"/>
      <c r="EO31" s="930"/>
      <c r="EP31" s="930"/>
      <c r="EQ31" s="930"/>
      <c r="ER31" s="930"/>
      <c r="ES31" s="930"/>
      <c r="ET31" s="930"/>
      <c r="EU31" s="930"/>
      <c r="EV31" s="930"/>
      <c r="EW31" s="930"/>
      <c r="EX31" s="930"/>
      <c r="EY31" s="930"/>
      <c r="EZ31" s="930"/>
      <c r="FA31" s="930"/>
      <c r="FB31" s="930"/>
      <c r="FC31" s="930"/>
      <c r="FD31" s="930"/>
      <c r="FE31" s="930"/>
      <c r="FF31" s="930"/>
      <c r="FG31" s="930"/>
      <c r="FH31" s="930"/>
      <c r="FI31" s="930"/>
      <c r="FJ31" s="930"/>
      <c r="FK31" s="930"/>
      <c r="FL31" s="930"/>
      <c r="FM31" s="930"/>
      <c r="FN31" s="930"/>
      <c r="FO31" s="930"/>
      <c r="FP31" s="930"/>
      <c r="FQ31" s="930"/>
      <c r="FR31" s="930"/>
      <c r="FS31" s="930"/>
      <c r="FT31" s="930"/>
      <c r="FU31" s="930"/>
      <c r="FV31" s="930"/>
      <c r="FW31" s="930"/>
      <c r="FX31" s="930"/>
      <c r="FY31" s="930"/>
      <c r="FZ31" s="930"/>
      <c r="GA31" s="930"/>
      <c r="GB31" s="930"/>
      <c r="GC31" s="930"/>
      <c r="GD31" s="930"/>
      <c r="GE31" s="930"/>
      <c r="GF31" s="930"/>
      <c r="GG31" s="930"/>
      <c r="GH31" s="930"/>
      <c r="GI31" s="930"/>
      <c r="GJ31" s="930"/>
      <c r="GK31" s="930"/>
      <c r="GL31" s="930"/>
      <c r="GM31" s="930"/>
      <c r="GN31" s="930"/>
      <c r="GO31" s="930"/>
      <c r="GP31" s="930"/>
      <c r="GQ31" s="930"/>
      <c r="GR31" s="930"/>
      <c r="GS31" s="930"/>
      <c r="GT31" s="930"/>
      <c r="GU31" s="930"/>
      <c r="GV31" s="930"/>
      <c r="GW31" s="930"/>
      <c r="GX31" s="930"/>
      <c r="GY31" s="930"/>
      <c r="GZ31" s="930"/>
      <c r="HA31" s="930"/>
      <c r="HB31" s="930"/>
      <c r="HC31" s="930"/>
      <c r="HD31" s="930"/>
      <c r="HE31" s="930"/>
      <c r="HF31" s="930"/>
      <c r="HG31" s="930"/>
      <c r="HH31" s="930"/>
      <c r="HI31" s="930"/>
      <c r="HJ31" s="930"/>
      <c r="HK31" s="930"/>
      <c r="HL31" s="930"/>
      <c r="HM31" s="930"/>
      <c r="HN31" s="930"/>
      <c r="HO31" s="930"/>
      <c r="HP31" s="930"/>
      <c r="HQ31" s="930"/>
      <c r="HR31" s="930"/>
      <c r="HS31" s="930"/>
      <c r="HT31" s="930"/>
      <c r="HU31" s="930"/>
      <c r="HV31" s="930"/>
      <c r="HW31" s="930"/>
      <c r="HX31" s="930"/>
      <c r="HY31" s="930"/>
      <c r="HZ31" s="930"/>
      <c r="IA31" s="930"/>
      <c r="IB31" s="930"/>
      <c r="IC31" s="930"/>
      <c r="ID31" s="930"/>
      <c r="IE31" s="930"/>
      <c r="IF31" s="930"/>
      <c r="IG31" s="930"/>
      <c r="IH31" s="930"/>
      <c r="II31" s="930"/>
      <c r="IJ31" s="930"/>
      <c r="IK31" s="930"/>
      <c r="IL31" s="930"/>
      <c r="IM31" s="930"/>
      <c r="IN31" s="930"/>
      <c r="IO31" s="930"/>
      <c r="IP31" s="930"/>
      <c r="IQ31" s="930"/>
      <c r="IR31" s="930"/>
      <c r="IS31" s="930"/>
      <c r="IT31" s="930"/>
      <c r="IU31" s="930"/>
      <c r="IV31" s="930"/>
    </row>
    <row r="32" spans="1:256">
      <c r="A32" s="935">
        <f>+A30+1</f>
        <v>18</v>
      </c>
      <c r="B32" s="931" t="s">
        <v>571</v>
      </c>
      <c r="C32" s="944"/>
      <c r="D32" s="942">
        <f>+D30</f>
        <v>-1018002788.5099994</v>
      </c>
      <c r="E32" s="931"/>
      <c r="F32" s="931"/>
      <c r="G32" s="931"/>
      <c r="H32" s="944"/>
      <c r="I32" s="942">
        <f>+I30</f>
        <v>-1014978804.0248401</v>
      </c>
      <c r="J32" s="930"/>
      <c r="K32" s="930"/>
      <c r="L32" s="930"/>
      <c r="M32" s="930"/>
      <c r="N32" s="930"/>
      <c r="O32" s="930"/>
      <c r="P32" s="930"/>
      <c r="Q32" s="930"/>
      <c r="R32" s="930"/>
      <c r="S32" s="930"/>
      <c r="T32" s="930"/>
      <c r="U32" s="930"/>
      <c r="V32" s="930"/>
      <c r="W32" s="930"/>
      <c r="X32" s="930"/>
      <c r="Y32" s="930"/>
      <c r="Z32" s="930"/>
      <c r="AA32" s="930"/>
      <c r="AB32" s="930"/>
      <c r="AC32" s="930"/>
      <c r="AD32" s="930"/>
      <c r="AE32" s="930"/>
      <c r="AF32" s="930"/>
      <c r="AG32" s="930"/>
      <c r="AH32" s="930"/>
      <c r="AI32" s="930"/>
      <c r="AJ32" s="930"/>
      <c r="AK32" s="930"/>
      <c r="AL32" s="930"/>
      <c r="AM32" s="930"/>
      <c r="AN32" s="930"/>
      <c r="AO32" s="930"/>
      <c r="AP32" s="930"/>
      <c r="AQ32" s="930"/>
      <c r="AR32" s="930"/>
      <c r="AS32" s="930"/>
      <c r="AT32" s="930"/>
      <c r="AU32" s="930"/>
      <c r="AV32" s="930"/>
      <c r="AW32" s="930"/>
      <c r="AX32" s="930"/>
      <c r="AY32" s="930"/>
      <c r="AZ32" s="930"/>
      <c r="BA32" s="930"/>
      <c r="BB32" s="930"/>
      <c r="BC32" s="930"/>
      <c r="BD32" s="930"/>
      <c r="BE32" s="930"/>
      <c r="BF32" s="930"/>
      <c r="BG32" s="930"/>
      <c r="BH32" s="930"/>
      <c r="BI32" s="930"/>
      <c r="BJ32" s="930"/>
      <c r="BK32" s="930"/>
      <c r="BL32" s="930"/>
      <c r="BM32" s="930"/>
      <c r="BN32" s="930"/>
      <c r="BO32" s="930"/>
      <c r="BP32" s="930"/>
      <c r="BQ32" s="930"/>
      <c r="BR32" s="930"/>
      <c r="BS32" s="930"/>
      <c r="BT32" s="930"/>
      <c r="BU32" s="930"/>
      <c r="BV32" s="930"/>
      <c r="BW32" s="930"/>
      <c r="BX32" s="930"/>
      <c r="BY32" s="930"/>
      <c r="BZ32" s="930"/>
      <c r="CA32" s="930"/>
      <c r="CB32" s="930"/>
      <c r="CC32" s="930"/>
      <c r="CD32" s="930"/>
      <c r="CE32" s="930"/>
      <c r="CF32" s="930"/>
      <c r="CG32" s="930"/>
      <c r="CH32" s="930"/>
      <c r="CI32" s="930"/>
      <c r="CJ32" s="930"/>
      <c r="CK32" s="930"/>
      <c r="CL32" s="930"/>
      <c r="CM32" s="930"/>
      <c r="CN32" s="930"/>
      <c r="CO32" s="930"/>
      <c r="CP32" s="930"/>
      <c r="CQ32" s="930"/>
      <c r="CR32" s="930"/>
      <c r="CS32" s="930"/>
      <c r="CT32" s="930"/>
      <c r="CU32" s="930"/>
      <c r="CV32" s="930"/>
      <c r="CW32" s="930"/>
      <c r="CX32" s="930"/>
      <c r="CY32" s="930"/>
      <c r="CZ32" s="930"/>
      <c r="DA32" s="930"/>
      <c r="DB32" s="930"/>
      <c r="DC32" s="930"/>
      <c r="DD32" s="930"/>
      <c r="DE32" s="930"/>
      <c r="DF32" s="930"/>
      <c r="DG32" s="930"/>
      <c r="DH32" s="930"/>
      <c r="DI32" s="930"/>
      <c r="DJ32" s="930"/>
      <c r="DK32" s="930"/>
      <c r="DL32" s="930"/>
      <c r="DM32" s="930"/>
      <c r="DN32" s="930"/>
      <c r="DO32" s="930"/>
      <c r="DP32" s="930"/>
      <c r="DQ32" s="930"/>
      <c r="DR32" s="930"/>
      <c r="DS32" s="930"/>
      <c r="DT32" s="930"/>
      <c r="DU32" s="930"/>
      <c r="DV32" s="930"/>
      <c r="DW32" s="930"/>
      <c r="DX32" s="930"/>
      <c r="DY32" s="930"/>
      <c r="DZ32" s="930"/>
      <c r="EA32" s="930"/>
      <c r="EB32" s="930"/>
      <c r="EC32" s="930"/>
      <c r="ED32" s="930"/>
      <c r="EE32" s="930"/>
      <c r="EF32" s="930"/>
      <c r="EG32" s="930"/>
      <c r="EH32" s="930"/>
      <c r="EI32" s="930"/>
      <c r="EJ32" s="930"/>
      <c r="EK32" s="930"/>
      <c r="EL32" s="930"/>
      <c r="EM32" s="930"/>
      <c r="EN32" s="930"/>
      <c r="EO32" s="930"/>
      <c r="EP32" s="930"/>
      <c r="EQ32" s="930"/>
      <c r="ER32" s="930"/>
      <c r="ES32" s="930"/>
      <c r="ET32" s="930"/>
      <c r="EU32" s="930"/>
      <c r="EV32" s="930"/>
      <c r="EW32" s="930"/>
      <c r="EX32" s="930"/>
      <c r="EY32" s="930"/>
      <c r="EZ32" s="930"/>
      <c r="FA32" s="930"/>
      <c r="FB32" s="930"/>
      <c r="FC32" s="930"/>
      <c r="FD32" s="930"/>
      <c r="FE32" s="930"/>
      <c r="FF32" s="930"/>
      <c r="FG32" s="930"/>
      <c r="FH32" s="930"/>
      <c r="FI32" s="930"/>
      <c r="FJ32" s="930"/>
      <c r="FK32" s="930"/>
      <c r="FL32" s="930"/>
      <c r="FM32" s="930"/>
      <c r="FN32" s="930"/>
      <c r="FO32" s="930"/>
      <c r="FP32" s="930"/>
      <c r="FQ32" s="930"/>
      <c r="FR32" s="930"/>
      <c r="FS32" s="930"/>
      <c r="FT32" s="930"/>
      <c r="FU32" s="930"/>
      <c r="FV32" s="930"/>
      <c r="FW32" s="930"/>
      <c r="FX32" s="930"/>
      <c r="FY32" s="930"/>
      <c r="FZ32" s="930"/>
      <c r="GA32" s="930"/>
      <c r="GB32" s="930"/>
      <c r="GC32" s="930"/>
      <c r="GD32" s="930"/>
      <c r="GE32" s="930"/>
      <c r="GF32" s="930"/>
      <c r="GG32" s="930"/>
      <c r="GH32" s="930"/>
      <c r="GI32" s="930"/>
      <c r="GJ32" s="930"/>
      <c r="GK32" s="930"/>
      <c r="GL32" s="930"/>
      <c r="GM32" s="930"/>
      <c r="GN32" s="930"/>
      <c r="GO32" s="930"/>
      <c r="GP32" s="930"/>
      <c r="GQ32" s="930"/>
      <c r="GR32" s="930"/>
      <c r="GS32" s="930"/>
      <c r="GT32" s="930"/>
      <c r="GU32" s="930"/>
      <c r="GV32" s="930"/>
      <c r="GW32" s="930"/>
      <c r="GX32" s="930"/>
      <c r="GY32" s="930"/>
      <c r="GZ32" s="930"/>
      <c r="HA32" s="930"/>
      <c r="HB32" s="930"/>
      <c r="HC32" s="930"/>
      <c r="HD32" s="930"/>
      <c r="HE32" s="930"/>
      <c r="HF32" s="930"/>
      <c r="HG32" s="930"/>
      <c r="HH32" s="930"/>
      <c r="HI32" s="930"/>
      <c r="HJ32" s="930"/>
      <c r="HK32" s="930"/>
      <c r="HL32" s="930"/>
      <c r="HM32" s="930"/>
      <c r="HN32" s="930"/>
      <c r="HO32" s="930"/>
      <c r="HP32" s="930"/>
      <c r="HQ32" s="930"/>
      <c r="HR32" s="930"/>
      <c r="HS32" s="930"/>
      <c r="HT32" s="930"/>
      <c r="HU32" s="930"/>
      <c r="HV32" s="930"/>
      <c r="HW32" s="930"/>
      <c r="HX32" s="930"/>
      <c r="HY32" s="930"/>
      <c r="HZ32" s="930"/>
      <c r="IA32" s="930"/>
      <c r="IB32" s="930"/>
      <c r="IC32" s="930"/>
      <c r="ID32" s="930"/>
      <c r="IE32" s="930"/>
      <c r="IF32" s="930"/>
      <c r="IG32" s="930"/>
      <c r="IH32" s="930"/>
      <c r="II32" s="930"/>
      <c r="IJ32" s="930"/>
      <c r="IK32" s="930"/>
      <c r="IL32" s="930"/>
      <c r="IM32" s="930"/>
      <c r="IN32" s="930"/>
      <c r="IO32" s="930"/>
      <c r="IP32" s="930"/>
      <c r="IQ32" s="930"/>
      <c r="IR32" s="930"/>
      <c r="IS32" s="930"/>
      <c r="IT32" s="930"/>
      <c r="IU32" s="930"/>
      <c r="IV32" s="930"/>
    </row>
    <row r="33" spans="1:256">
      <c r="A33" s="935"/>
      <c r="B33" s="945"/>
      <c r="C33" s="945"/>
      <c r="D33" s="945"/>
      <c r="E33" s="945"/>
      <c r="F33" s="945"/>
      <c r="G33" s="945"/>
      <c r="H33" s="945"/>
      <c r="I33" s="945"/>
      <c r="J33" s="930"/>
      <c r="K33" s="930"/>
      <c r="L33" s="930"/>
      <c r="M33" s="930"/>
      <c r="N33" s="930"/>
      <c r="O33" s="930"/>
      <c r="P33" s="930"/>
      <c r="Q33" s="930"/>
      <c r="R33" s="930"/>
      <c r="S33" s="930"/>
      <c r="T33" s="930"/>
      <c r="U33" s="930"/>
      <c r="V33" s="930"/>
      <c r="W33" s="930"/>
      <c r="X33" s="930"/>
      <c r="Y33" s="930"/>
      <c r="Z33" s="930"/>
      <c r="AA33" s="930"/>
      <c r="AB33" s="930"/>
      <c r="AC33" s="930"/>
      <c r="AD33" s="930"/>
      <c r="AE33" s="930"/>
      <c r="AF33" s="930"/>
      <c r="AG33" s="930"/>
      <c r="AH33" s="930"/>
      <c r="AI33" s="930"/>
      <c r="AJ33" s="930"/>
      <c r="AK33" s="930"/>
      <c r="AL33" s="930"/>
      <c r="AM33" s="930"/>
      <c r="AN33" s="930"/>
      <c r="AO33" s="930"/>
      <c r="AP33" s="930"/>
      <c r="AQ33" s="930"/>
      <c r="AR33" s="930"/>
      <c r="AS33" s="930"/>
      <c r="AT33" s="930"/>
      <c r="AU33" s="930"/>
      <c r="AV33" s="930"/>
      <c r="AW33" s="930"/>
      <c r="AX33" s="930"/>
      <c r="AY33" s="930"/>
      <c r="AZ33" s="930"/>
      <c r="BA33" s="930"/>
      <c r="BB33" s="930"/>
      <c r="BC33" s="930"/>
      <c r="BD33" s="930"/>
      <c r="BE33" s="930"/>
      <c r="BF33" s="930"/>
      <c r="BG33" s="930"/>
      <c r="BH33" s="930"/>
      <c r="BI33" s="930"/>
      <c r="BJ33" s="930"/>
      <c r="BK33" s="930"/>
      <c r="BL33" s="930"/>
      <c r="BM33" s="930"/>
      <c r="BN33" s="930"/>
      <c r="BO33" s="930"/>
      <c r="BP33" s="930"/>
      <c r="BQ33" s="930"/>
      <c r="BR33" s="930"/>
      <c r="BS33" s="930"/>
      <c r="BT33" s="930"/>
      <c r="BU33" s="930"/>
      <c r="BV33" s="930"/>
      <c r="BW33" s="930"/>
      <c r="BX33" s="930"/>
      <c r="BY33" s="930"/>
      <c r="BZ33" s="930"/>
      <c r="CA33" s="930"/>
      <c r="CB33" s="930"/>
      <c r="CC33" s="930"/>
      <c r="CD33" s="930"/>
      <c r="CE33" s="930"/>
      <c r="CF33" s="930"/>
      <c r="CG33" s="930"/>
      <c r="CH33" s="930"/>
      <c r="CI33" s="930"/>
      <c r="CJ33" s="930"/>
      <c r="CK33" s="930"/>
      <c r="CL33" s="930"/>
      <c r="CM33" s="930"/>
      <c r="CN33" s="930"/>
      <c r="CO33" s="930"/>
      <c r="CP33" s="930"/>
      <c r="CQ33" s="930"/>
      <c r="CR33" s="930"/>
      <c r="CS33" s="930"/>
      <c r="CT33" s="930"/>
      <c r="CU33" s="930"/>
      <c r="CV33" s="930"/>
      <c r="CW33" s="930"/>
      <c r="CX33" s="930"/>
      <c r="CY33" s="930"/>
      <c r="CZ33" s="930"/>
      <c r="DA33" s="930"/>
      <c r="DB33" s="930"/>
      <c r="DC33" s="930"/>
      <c r="DD33" s="930"/>
      <c r="DE33" s="930"/>
      <c r="DF33" s="930"/>
      <c r="DG33" s="930"/>
      <c r="DH33" s="930"/>
      <c r="DI33" s="930"/>
      <c r="DJ33" s="930"/>
      <c r="DK33" s="930"/>
      <c r="DL33" s="930"/>
      <c r="DM33" s="930"/>
      <c r="DN33" s="930"/>
      <c r="DO33" s="930"/>
      <c r="DP33" s="930"/>
      <c r="DQ33" s="930"/>
      <c r="DR33" s="930"/>
      <c r="DS33" s="930"/>
      <c r="DT33" s="930"/>
      <c r="DU33" s="930"/>
      <c r="DV33" s="930"/>
      <c r="DW33" s="930"/>
      <c r="DX33" s="930"/>
      <c r="DY33" s="930"/>
      <c r="DZ33" s="930"/>
      <c r="EA33" s="930"/>
      <c r="EB33" s="930"/>
      <c r="EC33" s="930"/>
      <c r="ED33" s="930"/>
      <c r="EE33" s="930"/>
      <c r="EF33" s="930"/>
      <c r="EG33" s="930"/>
      <c r="EH33" s="930"/>
      <c r="EI33" s="930"/>
      <c r="EJ33" s="930"/>
      <c r="EK33" s="930"/>
      <c r="EL33" s="930"/>
      <c r="EM33" s="930"/>
      <c r="EN33" s="930"/>
      <c r="EO33" s="930"/>
      <c r="EP33" s="930"/>
      <c r="EQ33" s="930"/>
      <c r="ER33" s="930"/>
      <c r="ES33" s="930"/>
      <c r="ET33" s="930"/>
      <c r="EU33" s="930"/>
      <c r="EV33" s="930"/>
      <c r="EW33" s="930"/>
      <c r="EX33" s="930"/>
      <c r="EY33" s="930"/>
      <c r="EZ33" s="930"/>
      <c r="FA33" s="930"/>
      <c r="FB33" s="930"/>
      <c r="FC33" s="930"/>
      <c r="FD33" s="930"/>
      <c r="FE33" s="930"/>
      <c r="FF33" s="930"/>
      <c r="FG33" s="930"/>
      <c r="FH33" s="930"/>
      <c r="FI33" s="930"/>
      <c r="FJ33" s="930"/>
      <c r="FK33" s="930"/>
      <c r="FL33" s="930"/>
      <c r="FM33" s="930"/>
      <c r="FN33" s="930"/>
      <c r="FO33" s="930"/>
      <c r="FP33" s="930"/>
      <c r="FQ33" s="930"/>
      <c r="FR33" s="930"/>
      <c r="FS33" s="930"/>
      <c r="FT33" s="930"/>
      <c r="FU33" s="930"/>
      <c r="FV33" s="930"/>
      <c r="FW33" s="930"/>
      <c r="FX33" s="930"/>
      <c r="FY33" s="930"/>
      <c r="FZ33" s="930"/>
      <c r="GA33" s="930"/>
      <c r="GB33" s="930"/>
      <c r="GC33" s="930"/>
      <c r="GD33" s="930"/>
      <c r="GE33" s="930"/>
      <c r="GF33" s="930"/>
      <c r="GG33" s="930"/>
      <c r="GH33" s="930"/>
      <c r="GI33" s="930"/>
      <c r="GJ33" s="930"/>
      <c r="GK33" s="930"/>
      <c r="GL33" s="930"/>
      <c r="GM33" s="930"/>
      <c r="GN33" s="930"/>
      <c r="GO33" s="930"/>
      <c r="GP33" s="930"/>
      <c r="GQ33" s="930"/>
      <c r="GR33" s="930"/>
      <c r="GS33" s="930"/>
      <c r="GT33" s="930"/>
      <c r="GU33" s="930"/>
      <c r="GV33" s="930"/>
      <c r="GW33" s="930"/>
      <c r="GX33" s="930"/>
      <c r="GY33" s="930"/>
      <c r="GZ33" s="930"/>
      <c r="HA33" s="930"/>
      <c r="HB33" s="930"/>
      <c r="HC33" s="930"/>
      <c r="HD33" s="930"/>
      <c r="HE33" s="930"/>
      <c r="HF33" s="930"/>
      <c r="HG33" s="930"/>
      <c r="HH33" s="930"/>
      <c r="HI33" s="930"/>
      <c r="HJ33" s="930"/>
      <c r="HK33" s="930"/>
      <c r="HL33" s="930"/>
      <c r="HM33" s="930"/>
      <c r="HN33" s="930"/>
      <c r="HO33" s="930"/>
      <c r="HP33" s="930"/>
      <c r="HQ33" s="930"/>
      <c r="HR33" s="930"/>
      <c r="HS33" s="930"/>
      <c r="HT33" s="930"/>
      <c r="HU33" s="930"/>
      <c r="HV33" s="930"/>
      <c r="HW33" s="930"/>
      <c r="HX33" s="930"/>
      <c r="HY33" s="930"/>
      <c r="HZ33" s="930"/>
      <c r="IA33" s="930"/>
      <c r="IB33" s="930"/>
      <c r="IC33" s="930"/>
      <c r="ID33" s="930"/>
      <c r="IE33" s="930"/>
      <c r="IF33" s="930"/>
      <c r="IG33" s="930"/>
      <c r="IH33" s="930"/>
      <c r="II33" s="930"/>
      <c r="IJ33" s="930"/>
      <c r="IK33" s="930"/>
      <c r="IL33" s="930"/>
      <c r="IM33" s="930"/>
      <c r="IN33" s="930"/>
      <c r="IO33" s="930"/>
      <c r="IP33" s="930"/>
      <c r="IQ33" s="930"/>
      <c r="IR33" s="930"/>
      <c r="IS33" s="930"/>
      <c r="IT33" s="930"/>
      <c r="IU33" s="930"/>
      <c r="IV33" s="930"/>
    </row>
    <row r="34" spans="1:256" ht="13.5" thickBot="1">
      <c r="A34" s="935">
        <f>+A32+1</f>
        <v>19</v>
      </c>
      <c r="B34" s="946" t="str">
        <f>"Proration Adjustment - Line "&amp;A32&amp;" Col. "&amp;I16&amp;" less Col. "&amp;D16</f>
        <v>Proration Adjustment - Line 18 Col. (H) less Col. (C )</v>
      </c>
      <c r="C34" s="946"/>
      <c r="D34" s="946"/>
      <c r="E34" s="946"/>
      <c r="F34" s="946"/>
      <c r="G34" s="946"/>
      <c r="H34" s="946"/>
      <c r="I34" s="947">
        <f>+I32-D32</f>
        <v>3023984.4851592779</v>
      </c>
      <c r="J34" s="930"/>
      <c r="K34" s="930"/>
      <c r="L34" s="930"/>
      <c r="M34" s="930"/>
      <c r="N34" s="930"/>
      <c r="O34" s="930"/>
      <c r="P34" s="930"/>
      <c r="Q34" s="930"/>
      <c r="R34" s="930"/>
      <c r="S34" s="930"/>
      <c r="T34" s="930"/>
      <c r="U34" s="930"/>
      <c r="V34" s="930"/>
      <c r="W34" s="930"/>
      <c r="X34" s="930"/>
      <c r="Y34" s="930"/>
      <c r="Z34" s="930"/>
      <c r="AA34" s="930"/>
      <c r="AB34" s="930"/>
      <c r="AC34" s="930"/>
      <c r="AD34" s="930"/>
      <c r="AE34" s="930"/>
      <c r="AF34" s="930"/>
      <c r="AG34" s="930"/>
      <c r="AH34" s="930"/>
      <c r="AI34" s="930"/>
      <c r="AJ34" s="930"/>
      <c r="AK34" s="930"/>
      <c r="AL34" s="930"/>
      <c r="AM34" s="930"/>
      <c r="AN34" s="930"/>
      <c r="AO34" s="930"/>
      <c r="AP34" s="930"/>
      <c r="AQ34" s="930"/>
      <c r="AR34" s="930"/>
      <c r="AS34" s="930"/>
      <c r="AT34" s="930"/>
      <c r="AU34" s="930"/>
      <c r="AV34" s="930"/>
      <c r="AW34" s="930"/>
      <c r="AX34" s="930"/>
      <c r="AY34" s="930"/>
      <c r="AZ34" s="930"/>
      <c r="BA34" s="930"/>
      <c r="BB34" s="930"/>
      <c r="BC34" s="930"/>
      <c r="BD34" s="930"/>
      <c r="BE34" s="930"/>
      <c r="BF34" s="930"/>
      <c r="BG34" s="930"/>
      <c r="BH34" s="930"/>
      <c r="BI34" s="930"/>
      <c r="BJ34" s="930"/>
      <c r="BK34" s="930"/>
      <c r="BL34" s="930"/>
      <c r="BM34" s="930"/>
      <c r="BN34" s="930"/>
      <c r="BO34" s="930"/>
      <c r="BP34" s="930"/>
      <c r="BQ34" s="930"/>
      <c r="BR34" s="930"/>
      <c r="BS34" s="930"/>
      <c r="BT34" s="930"/>
      <c r="BU34" s="930"/>
      <c r="BV34" s="930"/>
      <c r="BW34" s="930"/>
      <c r="BX34" s="930"/>
      <c r="BY34" s="930"/>
      <c r="BZ34" s="930"/>
      <c r="CA34" s="930"/>
      <c r="CB34" s="930"/>
      <c r="CC34" s="930"/>
      <c r="CD34" s="930"/>
      <c r="CE34" s="930"/>
      <c r="CF34" s="930"/>
      <c r="CG34" s="930"/>
      <c r="CH34" s="930"/>
      <c r="CI34" s="930"/>
      <c r="CJ34" s="930"/>
      <c r="CK34" s="930"/>
      <c r="CL34" s="930"/>
      <c r="CM34" s="930"/>
      <c r="CN34" s="930"/>
      <c r="CO34" s="930"/>
      <c r="CP34" s="930"/>
      <c r="CQ34" s="930"/>
      <c r="CR34" s="930"/>
      <c r="CS34" s="930"/>
      <c r="CT34" s="930"/>
      <c r="CU34" s="930"/>
      <c r="CV34" s="930"/>
      <c r="CW34" s="930"/>
      <c r="CX34" s="930"/>
      <c r="CY34" s="930"/>
      <c r="CZ34" s="930"/>
      <c r="DA34" s="930"/>
      <c r="DB34" s="930"/>
      <c r="DC34" s="930"/>
      <c r="DD34" s="930"/>
      <c r="DE34" s="930"/>
      <c r="DF34" s="930"/>
      <c r="DG34" s="930"/>
      <c r="DH34" s="930"/>
      <c r="DI34" s="930"/>
      <c r="DJ34" s="930"/>
      <c r="DK34" s="930"/>
      <c r="DL34" s="930"/>
      <c r="DM34" s="930"/>
      <c r="DN34" s="930"/>
      <c r="DO34" s="930"/>
      <c r="DP34" s="930"/>
      <c r="DQ34" s="930"/>
      <c r="DR34" s="930"/>
      <c r="DS34" s="930"/>
      <c r="DT34" s="930"/>
      <c r="DU34" s="930"/>
      <c r="DV34" s="930"/>
      <c r="DW34" s="930"/>
      <c r="DX34" s="930"/>
      <c r="DY34" s="930"/>
      <c r="DZ34" s="930"/>
      <c r="EA34" s="930"/>
      <c r="EB34" s="930"/>
      <c r="EC34" s="930"/>
      <c r="ED34" s="930"/>
      <c r="EE34" s="930"/>
      <c r="EF34" s="930"/>
      <c r="EG34" s="930"/>
      <c r="EH34" s="930"/>
      <c r="EI34" s="930"/>
      <c r="EJ34" s="930"/>
      <c r="EK34" s="930"/>
      <c r="EL34" s="930"/>
      <c r="EM34" s="930"/>
      <c r="EN34" s="930"/>
      <c r="EO34" s="930"/>
      <c r="EP34" s="930"/>
      <c r="EQ34" s="930"/>
      <c r="ER34" s="930"/>
      <c r="ES34" s="930"/>
      <c r="ET34" s="930"/>
      <c r="EU34" s="930"/>
      <c r="EV34" s="930"/>
      <c r="EW34" s="930"/>
      <c r="EX34" s="930"/>
      <c r="EY34" s="930"/>
      <c r="EZ34" s="930"/>
      <c r="FA34" s="930"/>
      <c r="FB34" s="930"/>
      <c r="FC34" s="930"/>
      <c r="FD34" s="930"/>
      <c r="FE34" s="930"/>
      <c r="FF34" s="930"/>
      <c r="FG34" s="930"/>
      <c r="FH34" s="930"/>
      <c r="FI34" s="930"/>
      <c r="FJ34" s="930"/>
      <c r="FK34" s="930"/>
      <c r="FL34" s="930"/>
      <c r="FM34" s="930"/>
      <c r="FN34" s="930"/>
      <c r="FO34" s="930"/>
      <c r="FP34" s="930"/>
      <c r="FQ34" s="930"/>
      <c r="FR34" s="930"/>
      <c r="FS34" s="930"/>
      <c r="FT34" s="930"/>
      <c r="FU34" s="930"/>
      <c r="FV34" s="930"/>
      <c r="FW34" s="930"/>
      <c r="FX34" s="930"/>
      <c r="FY34" s="930"/>
      <c r="FZ34" s="930"/>
      <c r="GA34" s="930"/>
      <c r="GB34" s="930"/>
      <c r="GC34" s="930"/>
      <c r="GD34" s="930"/>
      <c r="GE34" s="930"/>
      <c r="GF34" s="930"/>
      <c r="GG34" s="930"/>
      <c r="GH34" s="930"/>
      <c r="GI34" s="930"/>
      <c r="GJ34" s="930"/>
      <c r="GK34" s="930"/>
      <c r="GL34" s="930"/>
      <c r="GM34" s="930"/>
      <c r="GN34" s="930"/>
      <c r="GO34" s="930"/>
      <c r="GP34" s="930"/>
      <c r="GQ34" s="930"/>
      <c r="GR34" s="930"/>
      <c r="GS34" s="930"/>
      <c r="GT34" s="930"/>
      <c r="GU34" s="930"/>
      <c r="GV34" s="930"/>
      <c r="GW34" s="930"/>
      <c r="GX34" s="930"/>
      <c r="GY34" s="930"/>
      <c r="GZ34" s="930"/>
      <c r="HA34" s="930"/>
      <c r="HB34" s="930"/>
      <c r="HC34" s="930"/>
      <c r="HD34" s="930"/>
      <c r="HE34" s="930"/>
      <c r="HF34" s="930"/>
      <c r="HG34" s="930"/>
      <c r="HH34" s="930"/>
      <c r="HI34" s="930"/>
      <c r="HJ34" s="930"/>
      <c r="HK34" s="930"/>
      <c r="HL34" s="930"/>
      <c r="HM34" s="930"/>
      <c r="HN34" s="930"/>
      <c r="HO34" s="930"/>
      <c r="HP34" s="930"/>
      <c r="HQ34" s="930"/>
      <c r="HR34" s="930"/>
      <c r="HS34" s="930"/>
      <c r="HT34" s="930"/>
      <c r="HU34" s="930"/>
      <c r="HV34" s="930"/>
      <c r="HW34" s="930"/>
      <c r="HX34" s="930"/>
      <c r="HY34" s="930"/>
      <c r="HZ34" s="930"/>
      <c r="IA34" s="930"/>
      <c r="IB34" s="930"/>
      <c r="IC34" s="930"/>
      <c r="ID34" s="930"/>
      <c r="IE34" s="930"/>
      <c r="IF34" s="930"/>
      <c r="IG34" s="930"/>
      <c r="IH34" s="930"/>
      <c r="II34" s="930"/>
      <c r="IJ34" s="930"/>
      <c r="IK34" s="930"/>
      <c r="IL34" s="930"/>
      <c r="IM34" s="930"/>
      <c r="IN34" s="930"/>
      <c r="IO34" s="930"/>
      <c r="IP34" s="930"/>
      <c r="IQ34" s="930"/>
      <c r="IR34" s="930"/>
      <c r="IS34" s="930"/>
      <c r="IT34" s="930"/>
      <c r="IU34" s="930"/>
      <c r="IV34" s="930"/>
    </row>
    <row r="35" spans="1:256" ht="13.5" thickTop="1">
      <c r="A35" s="930"/>
      <c r="B35" s="945"/>
      <c r="C35" s="945"/>
      <c r="D35" s="945"/>
      <c r="E35" s="945"/>
      <c r="F35" s="945"/>
      <c r="G35" s="945"/>
      <c r="H35" s="945"/>
      <c r="I35" s="945"/>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0"/>
      <c r="AY35" s="930"/>
      <c r="AZ35" s="930"/>
      <c r="BA35" s="930"/>
      <c r="BB35" s="930"/>
      <c r="BC35" s="930"/>
      <c r="BD35" s="930"/>
      <c r="BE35" s="930"/>
      <c r="BF35" s="930"/>
      <c r="BG35" s="930"/>
      <c r="BH35" s="930"/>
      <c r="BI35" s="930"/>
      <c r="BJ35" s="930"/>
      <c r="BK35" s="930"/>
      <c r="BL35" s="930"/>
      <c r="BM35" s="930"/>
      <c r="BN35" s="930"/>
      <c r="BO35" s="930"/>
      <c r="BP35" s="930"/>
      <c r="BQ35" s="930"/>
      <c r="BR35" s="930"/>
      <c r="BS35" s="930"/>
      <c r="BT35" s="930"/>
      <c r="BU35" s="930"/>
      <c r="BV35" s="930"/>
      <c r="BW35" s="930"/>
      <c r="BX35" s="930"/>
      <c r="BY35" s="930"/>
      <c r="BZ35" s="930"/>
      <c r="CA35" s="930"/>
      <c r="CB35" s="930"/>
      <c r="CC35" s="930"/>
      <c r="CD35" s="930"/>
      <c r="CE35" s="930"/>
      <c r="CF35" s="930"/>
      <c r="CG35" s="930"/>
      <c r="CH35" s="930"/>
      <c r="CI35" s="930"/>
      <c r="CJ35" s="930"/>
      <c r="CK35" s="930"/>
      <c r="CL35" s="930"/>
      <c r="CM35" s="930"/>
      <c r="CN35" s="930"/>
      <c r="CO35" s="930"/>
      <c r="CP35" s="930"/>
      <c r="CQ35" s="930"/>
      <c r="CR35" s="930"/>
      <c r="CS35" s="930"/>
      <c r="CT35" s="930"/>
      <c r="CU35" s="930"/>
      <c r="CV35" s="930"/>
      <c r="CW35" s="930"/>
      <c r="CX35" s="930"/>
      <c r="CY35" s="930"/>
      <c r="CZ35" s="930"/>
      <c r="DA35" s="930"/>
      <c r="DB35" s="930"/>
      <c r="DC35" s="930"/>
      <c r="DD35" s="930"/>
      <c r="DE35" s="930"/>
      <c r="DF35" s="930"/>
      <c r="DG35" s="930"/>
      <c r="DH35" s="930"/>
      <c r="DI35" s="930"/>
      <c r="DJ35" s="930"/>
      <c r="DK35" s="930"/>
      <c r="DL35" s="930"/>
      <c r="DM35" s="930"/>
      <c r="DN35" s="930"/>
      <c r="DO35" s="930"/>
      <c r="DP35" s="930"/>
      <c r="DQ35" s="930"/>
      <c r="DR35" s="930"/>
      <c r="DS35" s="930"/>
      <c r="DT35" s="930"/>
      <c r="DU35" s="930"/>
      <c r="DV35" s="930"/>
      <c r="DW35" s="930"/>
      <c r="DX35" s="930"/>
      <c r="DY35" s="930"/>
      <c r="DZ35" s="930"/>
      <c r="EA35" s="930"/>
      <c r="EB35" s="930"/>
      <c r="EC35" s="930"/>
      <c r="ED35" s="930"/>
      <c r="EE35" s="930"/>
      <c r="EF35" s="930"/>
      <c r="EG35" s="930"/>
      <c r="EH35" s="930"/>
      <c r="EI35" s="930"/>
      <c r="EJ35" s="930"/>
      <c r="EK35" s="930"/>
      <c r="EL35" s="930"/>
      <c r="EM35" s="930"/>
      <c r="EN35" s="930"/>
      <c r="EO35" s="930"/>
      <c r="EP35" s="930"/>
      <c r="EQ35" s="930"/>
      <c r="ER35" s="930"/>
      <c r="ES35" s="930"/>
      <c r="ET35" s="930"/>
      <c r="EU35" s="930"/>
      <c r="EV35" s="930"/>
      <c r="EW35" s="930"/>
      <c r="EX35" s="930"/>
      <c r="EY35" s="930"/>
      <c r="EZ35" s="930"/>
      <c r="FA35" s="930"/>
      <c r="FB35" s="930"/>
      <c r="FC35" s="930"/>
      <c r="FD35" s="930"/>
      <c r="FE35" s="930"/>
      <c r="FF35" s="930"/>
      <c r="FG35" s="930"/>
      <c r="FH35" s="930"/>
      <c r="FI35" s="930"/>
      <c r="FJ35" s="930"/>
      <c r="FK35" s="930"/>
      <c r="FL35" s="930"/>
      <c r="FM35" s="930"/>
      <c r="FN35" s="930"/>
      <c r="FO35" s="930"/>
      <c r="FP35" s="930"/>
      <c r="FQ35" s="930"/>
      <c r="FR35" s="930"/>
      <c r="FS35" s="930"/>
      <c r="FT35" s="930"/>
      <c r="FU35" s="930"/>
      <c r="FV35" s="930"/>
      <c r="FW35" s="930"/>
      <c r="FX35" s="930"/>
      <c r="FY35" s="930"/>
      <c r="FZ35" s="930"/>
      <c r="GA35" s="930"/>
      <c r="GB35" s="930"/>
      <c r="GC35" s="930"/>
      <c r="GD35" s="930"/>
      <c r="GE35" s="930"/>
      <c r="GF35" s="930"/>
      <c r="GG35" s="930"/>
      <c r="GH35" s="930"/>
      <c r="GI35" s="930"/>
      <c r="GJ35" s="930"/>
      <c r="GK35" s="930"/>
      <c r="GL35" s="930"/>
      <c r="GM35" s="930"/>
      <c r="GN35" s="930"/>
      <c r="GO35" s="930"/>
      <c r="GP35" s="930"/>
      <c r="GQ35" s="930"/>
      <c r="GR35" s="930"/>
      <c r="GS35" s="930"/>
      <c r="GT35" s="930"/>
      <c r="GU35" s="930"/>
      <c r="GV35" s="930"/>
      <c r="GW35" s="930"/>
      <c r="GX35" s="930"/>
      <c r="GY35" s="930"/>
      <c r="GZ35" s="930"/>
      <c r="HA35" s="930"/>
      <c r="HB35" s="930"/>
      <c r="HC35" s="930"/>
      <c r="HD35" s="930"/>
      <c r="HE35" s="930"/>
      <c r="HF35" s="930"/>
      <c r="HG35" s="930"/>
      <c r="HH35" s="930"/>
      <c r="HI35" s="930"/>
      <c r="HJ35" s="930"/>
      <c r="HK35" s="930"/>
      <c r="HL35" s="930"/>
      <c r="HM35" s="930"/>
      <c r="HN35" s="930"/>
      <c r="HO35" s="930"/>
      <c r="HP35" s="930"/>
      <c r="HQ35" s="930"/>
      <c r="HR35" s="930"/>
      <c r="HS35" s="930"/>
      <c r="HT35" s="930"/>
      <c r="HU35" s="930"/>
      <c r="HV35" s="930"/>
      <c r="HW35" s="930"/>
      <c r="HX35" s="930"/>
      <c r="HY35" s="930"/>
      <c r="HZ35" s="930"/>
      <c r="IA35" s="930"/>
      <c r="IB35" s="930"/>
      <c r="IC35" s="930"/>
      <c r="ID35" s="930"/>
      <c r="IE35" s="930"/>
      <c r="IF35" s="930"/>
      <c r="IG35" s="930"/>
      <c r="IH35" s="930"/>
      <c r="II35" s="930"/>
      <c r="IJ35" s="930"/>
      <c r="IK35" s="930"/>
      <c r="IL35" s="930"/>
      <c r="IM35" s="930"/>
      <c r="IN35" s="930"/>
      <c r="IO35" s="930"/>
      <c r="IP35" s="930"/>
      <c r="IQ35" s="930"/>
      <c r="IR35" s="930"/>
      <c r="IS35" s="930"/>
      <c r="IT35" s="930"/>
      <c r="IU35" s="930"/>
      <c r="IV35" s="930"/>
    </row>
    <row r="36" spans="1:256">
      <c r="B36" s="932"/>
      <c r="C36" s="932"/>
      <c r="D36" s="932"/>
      <c r="E36" s="932"/>
      <c r="F36" s="932"/>
      <c r="G36" s="932"/>
      <c r="H36" s="932"/>
      <c r="I36" s="932"/>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0"/>
      <c r="AY36" s="930"/>
      <c r="AZ36" s="930"/>
      <c r="BA36" s="930"/>
      <c r="BB36" s="930"/>
      <c r="BC36" s="930"/>
      <c r="BD36" s="930"/>
      <c r="BE36" s="930"/>
      <c r="BF36" s="930"/>
      <c r="BG36" s="930"/>
      <c r="BH36" s="930"/>
      <c r="BI36" s="930"/>
      <c r="BJ36" s="930"/>
      <c r="BK36" s="930"/>
      <c r="BL36" s="930"/>
      <c r="BM36" s="930"/>
      <c r="BN36" s="930"/>
      <c r="BO36" s="930"/>
      <c r="BP36" s="930"/>
      <c r="BQ36" s="930"/>
      <c r="BR36" s="930"/>
      <c r="BS36" s="930"/>
      <c r="BT36" s="930"/>
      <c r="BU36" s="930"/>
      <c r="BV36" s="930"/>
      <c r="BW36" s="930"/>
      <c r="BX36" s="930"/>
      <c r="BY36" s="930"/>
      <c r="BZ36" s="930"/>
      <c r="CA36" s="930"/>
      <c r="CB36" s="930"/>
      <c r="CC36" s="930"/>
      <c r="CD36" s="930"/>
      <c r="CE36" s="930"/>
      <c r="CF36" s="930"/>
      <c r="CG36" s="930"/>
      <c r="CH36" s="930"/>
      <c r="CI36" s="930"/>
      <c r="CJ36" s="930"/>
      <c r="CK36" s="930"/>
      <c r="CL36" s="930"/>
      <c r="CM36" s="930"/>
      <c r="CN36" s="930"/>
      <c r="CO36" s="930"/>
      <c r="CP36" s="930"/>
      <c r="CQ36" s="930"/>
      <c r="CR36" s="930"/>
      <c r="CS36" s="930"/>
      <c r="CT36" s="930"/>
      <c r="CU36" s="930"/>
      <c r="CV36" s="930"/>
      <c r="CW36" s="930"/>
      <c r="CX36" s="930"/>
      <c r="CY36" s="930"/>
      <c r="CZ36" s="930"/>
      <c r="DA36" s="930"/>
      <c r="DB36" s="930"/>
      <c r="DC36" s="930"/>
      <c r="DD36" s="930"/>
      <c r="DE36" s="930"/>
      <c r="DF36" s="930"/>
      <c r="DG36" s="930"/>
      <c r="DH36" s="930"/>
      <c r="DI36" s="930"/>
      <c r="DJ36" s="930"/>
      <c r="DK36" s="930"/>
      <c r="DL36" s="930"/>
      <c r="DM36" s="930"/>
      <c r="DN36" s="930"/>
      <c r="DO36" s="930"/>
      <c r="DP36" s="930"/>
      <c r="DQ36" s="930"/>
      <c r="DR36" s="930"/>
      <c r="DS36" s="930"/>
      <c r="DT36" s="930"/>
      <c r="DU36" s="930"/>
      <c r="DV36" s="930"/>
      <c r="DW36" s="930"/>
      <c r="DX36" s="930"/>
      <c r="DY36" s="930"/>
      <c r="DZ36" s="930"/>
      <c r="EA36" s="930"/>
      <c r="EB36" s="930"/>
      <c r="EC36" s="930"/>
      <c r="ED36" s="930"/>
      <c r="EE36" s="930"/>
      <c r="EF36" s="930"/>
      <c r="EG36" s="930"/>
      <c r="EH36" s="930"/>
      <c r="EI36" s="930"/>
      <c r="EJ36" s="930"/>
      <c r="EK36" s="930"/>
      <c r="EL36" s="930"/>
      <c r="EM36" s="930"/>
      <c r="EN36" s="930"/>
      <c r="EO36" s="930"/>
      <c r="EP36" s="930"/>
      <c r="EQ36" s="930"/>
      <c r="ER36" s="930"/>
      <c r="ES36" s="930"/>
      <c r="ET36" s="930"/>
      <c r="EU36" s="930"/>
      <c r="EV36" s="930"/>
      <c r="EW36" s="930"/>
      <c r="EX36" s="930"/>
      <c r="EY36" s="930"/>
      <c r="EZ36" s="930"/>
      <c r="FA36" s="930"/>
      <c r="FB36" s="930"/>
      <c r="FC36" s="930"/>
      <c r="FD36" s="930"/>
      <c r="FE36" s="930"/>
      <c r="FF36" s="930"/>
      <c r="FG36" s="930"/>
      <c r="FH36" s="930"/>
      <c r="FI36" s="930"/>
      <c r="FJ36" s="930"/>
      <c r="FK36" s="930"/>
      <c r="FL36" s="930"/>
      <c r="FM36" s="930"/>
      <c r="FN36" s="930"/>
      <c r="FO36" s="930"/>
      <c r="FP36" s="930"/>
      <c r="FQ36" s="930"/>
      <c r="FR36" s="930"/>
      <c r="FS36" s="930"/>
      <c r="FT36" s="930"/>
      <c r="FU36" s="930"/>
      <c r="FV36" s="930"/>
      <c r="FW36" s="930"/>
      <c r="FX36" s="930"/>
      <c r="FY36" s="930"/>
      <c r="FZ36" s="930"/>
      <c r="GA36" s="930"/>
      <c r="GB36" s="930"/>
      <c r="GC36" s="930"/>
      <c r="GD36" s="930"/>
      <c r="GE36" s="930"/>
      <c r="GF36" s="930"/>
      <c r="GG36" s="930"/>
      <c r="GH36" s="930"/>
      <c r="GI36" s="930"/>
      <c r="GJ36" s="930"/>
      <c r="GK36" s="930"/>
      <c r="GL36" s="930"/>
      <c r="GM36" s="930"/>
      <c r="GN36" s="930"/>
      <c r="GO36" s="930"/>
      <c r="GP36" s="930"/>
      <c r="GQ36" s="930"/>
      <c r="GR36" s="930"/>
      <c r="GS36" s="930"/>
      <c r="GT36" s="930"/>
      <c r="GU36" s="930"/>
      <c r="GV36" s="930"/>
      <c r="GW36" s="930"/>
      <c r="GX36" s="930"/>
      <c r="GY36" s="930"/>
      <c r="GZ36" s="930"/>
      <c r="HA36" s="930"/>
      <c r="HB36" s="930"/>
      <c r="HC36" s="930"/>
      <c r="HD36" s="930"/>
      <c r="HE36" s="930"/>
      <c r="HF36" s="930"/>
      <c r="HG36" s="930"/>
      <c r="HH36" s="930"/>
      <c r="HI36" s="930"/>
      <c r="HJ36" s="930"/>
      <c r="HK36" s="930"/>
      <c r="HL36" s="930"/>
      <c r="HM36" s="930"/>
      <c r="HN36" s="930"/>
      <c r="HO36" s="930"/>
      <c r="HP36" s="930"/>
      <c r="HQ36" s="930"/>
      <c r="HR36" s="930"/>
      <c r="HS36" s="930"/>
      <c r="HT36" s="930"/>
      <c r="HU36" s="930"/>
      <c r="HV36" s="930"/>
      <c r="HW36" s="930"/>
      <c r="HX36" s="930"/>
      <c r="HY36" s="930"/>
      <c r="HZ36" s="930"/>
      <c r="IA36" s="930"/>
      <c r="IB36" s="930"/>
      <c r="IC36" s="930"/>
      <c r="ID36" s="930"/>
      <c r="IE36" s="930"/>
      <c r="IF36" s="930"/>
      <c r="IG36" s="930"/>
      <c r="IH36" s="930"/>
      <c r="II36" s="930"/>
      <c r="IJ36" s="930"/>
      <c r="IK36" s="930"/>
      <c r="IL36" s="930"/>
      <c r="IM36" s="930"/>
      <c r="IN36" s="930"/>
      <c r="IO36" s="930"/>
      <c r="IP36" s="930"/>
      <c r="IQ36" s="930"/>
      <c r="IR36" s="930"/>
      <c r="IS36" s="930"/>
      <c r="IT36" s="930"/>
      <c r="IU36" s="930"/>
      <c r="IV36" s="930"/>
    </row>
    <row r="37" spans="1:256">
      <c r="A37" s="933" t="s">
        <v>1113</v>
      </c>
      <c r="B37" s="932"/>
      <c r="C37" s="930"/>
      <c r="D37" s="932"/>
      <c r="E37" s="1569" t="s">
        <v>384</v>
      </c>
      <c r="F37" s="1569"/>
      <c r="G37" s="932"/>
      <c r="H37" s="932"/>
      <c r="I37" s="932"/>
      <c r="J37" s="930"/>
      <c r="K37" s="930"/>
      <c r="L37" s="930"/>
      <c r="M37" s="930"/>
      <c r="N37" s="930"/>
      <c r="O37" s="930"/>
      <c r="P37" s="930"/>
      <c r="Q37" s="930"/>
      <c r="R37" s="930"/>
      <c r="S37" s="930"/>
      <c r="T37" s="930"/>
      <c r="U37" s="930"/>
      <c r="V37" s="930"/>
      <c r="W37" s="930"/>
      <c r="X37" s="930"/>
      <c r="Y37" s="930"/>
      <c r="Z37" s="930"/>
      <c r="AA37" s="930"/>
      <c r="AB37" s="930"/>
      <c r="AC37" s="930"/>
      <c r="AD37" s="930"/>
      <c r="AE37" s="930"/>
      <c r="AF37" s="930"/>
      <c r="AG37" s="930"/>
      <c r="AH37" s="930"/>
      <c r="AI37" s="930"/>
      <c r="AJ37" s="930"/>
      <c r="AK37" s="930"/>
      <c r="AL37" s="930"/>
      <c r="AM37" s="930"/>
      <c r="AN37" s="930"/>
      <c r="AO37" s="930"/>
      <c r="AP37" s="930"/>
      <c r="AQ37" s="930"/>
      <c r="AR37" s="930"/>
      <c r="AS37" s="930"/>
      <c r="AT37" s="930"/>
      <c r="AU37" s="930"/>
      <c r="AV37" s="930"/>
      <c r="AW37" s="930"/>
      <c r="AX37" s="930"/>
      <c r="AY37" s="930"/>
      <c r="AZ37" s="930"/>
      <c r="BA37" s="930"/>
      <c r="BB37" s="930"/>
      <c r="BC37" s="930"/>
      <c r="BD37" s="930"/>
      <c r="BE37" s="930"/>
      <c r="BF37" s="930"/>
      <c r="BG37" s="930"/>
      <c r="BH37" s="930"/>
      <c r="BI37" s="930"/>
      <c r="BJ37" s="930"/>
      <c r="BK37" s="930"/>
      <c r="BL37" s="930"/>
      <c r="BM37" s="930"/>
      <c r="BN37" s="930"/>
      <c r="BO37" s="930"/>
      <c r="BP37" s="930"/>
      <c r="BQ37" s="930"/>
      <c r="BR37" s="930"/>
      <c r="BS37" s="930"/>
      <c r="BT37" s="930"/>
      <c r="BU37" s="930"/>
      <c r="BV37" s="930"/>
      <c r="BW37" s="930"/>
      <c r="BX37" s="930"/>
      <c r="BY37" s="930"/>
      <c r="BZ37" s="930"/>
      <c r="CA37" s="930"/>
      <c r="CB37" s="930"/>
      <c r="CC37" s="930"/>
      <c r="CD37" s="930"/>
      <c r="CE37" s="930"/>
      <c r="CF37" s="930"/>
      <c r="CG37" s="930"/>
      <c r="CH37" s="930"/>
      <c r="CI37" s="930"/>
      <c r="CJ37" s="930"/>
      <c r="CK37" s="930"/>
      <c r="CL37" s="930"/>
      <c r="CM37" s="930"/>
      <c r="CN37" s="930"/>
      <c r="CO37" s="930"/>
      <c r="CP37" s="930"/>
      <c r="CQ37" s="930"/>
      <c r="CR37" s="930"/>
      <c r="CS37" s="930"/>
      <c r="CT37" s="930"/>
      <c r="CU37" s="930"/>
      <c r="CV37" s="930"/>
      <c r="CW37" s="930"/>
      <c r="CX37" s="930"/>
      <c r="CY37" s="930"/>
      <c r="CZ37" s="930"/>
      <c r="DA37" s="930"/>
      <c r="DB37" s="930"/>
      <c r="DC37" s="930"/>
      <c r="DD37" s="930"/>
      <c r="DE37" s="930"/>
      <c r="DF37" s="930"/>
      <c r="DG37" s="930"/>
      <c r="DH37" s="930"/>
      <c r="DI37" s="930"/>
      <c r="DJ37" s="930"/>
      <c r="DK37" s="930"/>
      <c r="DL37" s="930"/>
      <c r="DM37" s="930"/>
      <c r="DN37" s="930"/>
      <c r="DO37" s="930"/>
      <c r="DP37" s="930"/>
      <c r="DQ37" s="930"/>
      <c r="DR37" s="930"/>
      <c r="DS37" s="930"/>
      <c r="DT37" s="930"/>
      <c r="DU37" s="930"/>
      <c r="DV37" s="930"/>
      <c r="DW37" s="930"/>
      <c r="DX37" s="930"/>
      <c r="DY37" s="930"/>
      <c r="DZ37" s="930"/>
      <c r="EA37" s="930"/>
      <c r="EB37" s="930"/>
      <c r="EC37" s="930"/>
      <c r="ED37" s="930"/>
      <c r="EE37" s="930"/>
      <c r="EF37" s="930"/>
      <c r="EG37" s="930"/>
      <c r="EH37" s="930"/>
      <c r="EI37" s="930"/>
      <c r="EJ37" s="930"/>
      <c r="EK37" s="930"/>
      <c r="EL37" s="930"/>
      <c r="EM37" s="930"/>
      <c r="EN37" s="930"/>
      <c r="EO37" s="930"/>
      <c r="EP37" s="930"/>
      <c r="EQ37" s="930"/>
      <c r="ER37" s="930"/>
      <c r="ES37" s="930"/>
      <c r="ET37" s="930"/>
      <c r="EU37" s="930"/>
      <c r="EV37" s="930"/>
      <c r="EW37" s="930"/>
      <c r="EX37" s="930"/>
      <c r="EY37" s="930"/>
      <c r="EZ37" s="930"/>
      <c r="FA37" s="930"/>
      <c r="FB37" s="930"/>
      <c r="FC37" s="930"/>
      <c r="FD37" s="930"/>
      <c r="FE37" s="930"/>
      <c r="FF37" s="930"/>
      <c r="FG37" s="930"/>
      <c r="FH37" s="930"/>
      <c r="FI37" s="930"/>
      <c r="FJ37" s="930"/>
      <c r="FK37" s="930"/>
      <c r="FL37" s="930"/>
      <c r="FM37" s="930"/>
      <c r="FN37" s="930"/>
      <c r="FO37" s="930"/>
      <c r="FP37" s="930"/>
      <c r="FQ37" s="930"/>
      <c r="FR37" s="930"/>
      <c r="FS37" s="930"/>
      <c r="FT37" s="930"/>
      <c r="FU37" s="930"/>
      <c r="FV37" s="930"/>
      <c r="FW37" s="930"/>
      <c r="FX37" s="930"/>
      <c r="FY37" s="930"/>
      <c r="FZ37" s="930"/>
      <c r="GA37" s="930"/>
      <c r="GB37" s="930"/>
      <c r="GC37" s="930"/>
      <c r="GD37" s="930"/>
      <c r="GE37" s="930"/>
      <c r="GF37" s="930"/>
      <c r="GG37" s="930"/>
      <c r="GH37" s="930"/>
      <c r="GI37" s="930"/>
      <c r="GJ37" s="930"/>
      <c r="GK37" s="930"/>
      <c r="GL37" s="930"/>
      <c r="GM37" s="930"/>
      <c r="GN37" s="930"/>
      <c r="GO37" s="930"/>
      <c r="GP37" s="930"/>
      <c r="GQ37" s="930"/>
      <c r="GR37" s="930"/>
      <c r="GS37" s="930"/>
      <c r="GT37" s="930"/>
      <c r="GU37" s="930"/>
      <c r="GV37" s="930"/>
      <c r="GW37" s="930"/>
      <c r="GX37" s="930"/>
      <c r="GY37" s="930"/>
      <c r="GZ37" s="930"/>
      <c r="HA37" s="930"/>
      <c r="HB37" s="930"/>
      <c r="HC37" s="930"/>
      <c r="HD37" s="930"/>
      <c r="HE37" s="930"/>
      <c r="HF37" s="930"/>
      <c r="HG37" s="930"/>
      <c r="HH37" s="930"/>
      <c r="HI37" s="930"/>
      <c r="HJ37" s="930"/>
      <c r="HK37" s="930"/>
      <c r="HL37" s="930"/>
      <c r="HM37" s="930"/>
      <c r="HN37" s="930"/>
      <c r="HO37" s="930"/>
      <c r="HP37" s="930"/>
      <c r="HQ37" s="930"/>
      <c r="HR37" s="930"/>
      <c r="HS37" s="930"/>
      <c r="HT37" s="930"/>
      <c r="HU37" s="930"/>
      <c r="HV37" s="930"/>
      <c r="HW37" s="930"/>
      <c r="HX37" s="930"/>
      <c r="HY37" s="930"/>
      <c r="HZ37" s="930"/>
      <c r="IA37" s="930"/>
      <c r="IB37" s="930"/>
      <c r="IC37" s="930"/>
      <c r="ID37" s="930"/>
      <c r="IE37" s="930"/>
      <c r="IF37" s="930"/>
      <c r="IG37" s="930"/>
      <c r="IH37" s="930"/>
      <c r="II37" s="930"/>
      <c r="IJ37" s="930"/>
      <c r="IK37" s="930"/>
      <c r="IL37" s="930"/>
      <c r="IM37" s="930"/>
      <c r="IN37" s="930"/>
      <c r="IO37" s="930"/>
      <c r="IP37" s="930"/>
      <c r="IQ37" s="930"/>
      <c r="IR37" s="930"/>
      <c r="IS37" s="930"/>
      <c r="IT37" s="930"/>
      <c r="IU37" s="930"/>
      <c r="IV37" s="930"/>
    </row>
    <row r="38" spans="1:256">
      <c r="A38" s="935">
        <f>+A34+1</f>
        <v>20</v>
      </c>
      <c r="B38" s="936" t="s">
        <v>1468</v>
      </c>
      <c r="C38" s="936"/>
      <c r="D38" s="936"/>
      <c r="E38" s="936" t="s">
        <v>577</v>
      </c>
      <c r="F38" s="932"/>
      <c r="G38" s="930"/>
      <c r="H38" s="869">
        <v>0</v>
      </c>
      <c r="I38" s="932"/>
      <c r="J38" s="930"/>
      <c r="K38" s="930"/>
      <c r="L38" s="930"/>
      <c r="M38" s="930"/>
      <c r="N38" s="930"/>
      <c r="O38" s="930"/>
      <c r="P38" s="930"/>
      <c r="Q38" s="930"/>
      <c r="R38" s="930"/>
      <c r="S38" s="930"/>
      <c r="T38" s="930"/>
      <c r="U38" s="930"/>
      <c r="V38" s="930"/>
      <c r="W38" s="930"/>
      <c r="X38" s="930"/>
      <c r="Y38" s="930"/>
      <c r="Z38" s="930"/>
      <c r="AA38" s="930"/>
      <c r="AB38" s="930"/>
      <c r="AC38" s="930"/>
      <c r="AD38" s="930"/>
      <c r="AE38" s="930"/>
      <c r="AF38" s="930"/>
      <c r="AG38" s="930"/>
      <c r="AH38" s="930"/>
      <c r="AI38" s="930"/>
      <c r="AJ38" s="930"/>
      <c r="AK38" s="930"/>
      <c r="AL38" s="930"/>
      <c r="AM38" s="930"/>
      <c r="AN38" s="930"/>
      <c r="AO38" s="930"/>
      <c r="AP38" s="930"/>
      <c r="AQ38" s="930"/>
      <c r="AR38" s="930"/>
      <c r="AS38" s="930"/>
      <c r="AT38" s="930"/>
      <c r="AU38" s="930"/>
      <c r="AV38" s="930"/>
      <c r="AW38" s="930"/>
      <c r="AX38" s="930"/>
      <c r="AY38" s="930"/>
      <c r="AZ38" s="930"/>
      <c r="BA38" s="930"/>
      <c r="BB38" s="930"/>
      <c r="BC38" s="930"/>
      <c r="BD38" s="930"/>
      <c r="BE38" s="930"/>
      <c r="BF38" s="930"/>
      <c r="BG38" s="930"/>
      <c r="BH38" s="930"/>
      <c r="BI38" s="930"/>
      <c r="BJ38" s="930"/>
      <c r="BK38" s="930"/>
      <c r="BL38" s="930"/>
      <c r="BM38" s="930"/>
      <c r="BN38" s="930"/>
      <c r="BO38" s="930"/>
      <c r="BP38" s="930"/>
      <c r="BQ38" s="930"/>
      <c r="BR38" s="930"/>
      <c r="BS38" s="930"/>
      <c r="BT38" s="930"/>
      <c r="BU38" s="930"/>
      <c r="BV38" s="930"/>
      <c r="BW38" s="930"/>
      <c r="BX38" s="930"/>
      <c r="BY38" s="930"/>
      <c r="BZ38" s="930"/>
      <c r="CA38" s="930"/>
      <c r="CB38" s="930"/>
      <c r="CC38" s="930"/>
      <c r="CD38" s="930"/>
      <c r="CE38" s="930"/>
      <c r="CF38" s="930"/>
      <c r="CG38" s="930"/>
      <c r="CH38" s="930"/>
      <c r="CI38" s="930"/>
      <c r="CJ38" s="930"/>
      <c r="CK38" s="930"/>
      <c r="CL38" s="930"/>
      <c r="CM38" s="930"/>
      <c r="CN38" s="930"/>
      <c r="CO38" s="930"/>
      <c r="CP38" s="930"/>
      <c r="CQ38" s="930"/>
      <c r="CR38" s="930"/>
      <c r="CS38" s="930"/>
      <c r="CT38" s="930"/>
      <c r="CU38" s="930"/>
      <c r="CV38" s="930"/>
      <c r="CW38" s="930"/>
      <c r="CX38" s="930"/>
      <c r="CY38" s="930"/>
      <c r="CZ38" s="930"/>
      <c r="DA38" s="930"/>
      <c r="DB38" s="930"/>
      <c r="DC38" s="930"/>
      <c r="DD38" s="930"/>
      <c r="DE38" s="930"/>
      <c r="DF38" s="930"/>
      <c r="DG38" s="930"/>
      <c r="DH38" s="930"/>
      <c r="DI38" s="930"/>
      <c r="DJ38" s="930"/>
      <c r="DK38" s="930"/>
      <c r="DL38" s="930"/>
      <c r="DM38" s="930"/>
      <c r="DN38" s="930"/>
      <c r="DO38" s="930"/>
      <c r="DP38" s="930"/>
      <c r="DQ38" s="930"/>
      <c r="DR38" s="930"/>
      <c r="DS38" s="930"/>
      <c r="DT38" s="930"/>
      <c r="DU38" s="930"/>
      <c r="DV38" s="930"/>
      <c r="DW38" s="930"/>
      <c r="DX38" s="930"/>
      <c r="DY38" s="930"/>
      <c r="DZ38" s="930"/>
      <c r="EA38" s="930"/>
      <c r="EB38" s="930"/>
      <c r="EC38" s="930"/>
      <c r="ED38" s="930"/>
      <c r="EE38" s="930"/>
      <c r="EF38" s="930"/>
      <c r="EG38" s="930"/>
      <c r="EH38" s="930"/>
      <c r="EI38" s="930"/>
      <c r="EJ38" s="930"/>
      <c r="EK38" s="930"/>
      <c r="EL38" s="930"/>
      <c r="EM38" s="930"/>
      <c r="EN38" s="930"/>
      <c r="EO38" s="930"/>
      <c r="EP38" s="930"/>
      <c r="EQ38" s="930"/>
      <c r="ER38" s="930"/>
      <c r="ES38" s="930"/>
      <c r="ET38" s="930"/>
      <c r="EU38" s="930"/>
      <c r="EV38" s="930"/>
      <c r="EW38" s="930"/>
      <c r="EX38" s="930"/>
      <c r="EY38" s="930"/>
      <c r="EZ38" s="930"/>
      <c r="FA38" s="930"/>
      <c r="FB38" s="930"/>
      <c r="FC38" s="930"/>
      <c r="FD38" s="930"/>
      <c r="FE38" s="930"/>
      <c r="FF38" s="930"/>
      <c r="FG38" s="930"/>
      <c r="FH38" s="930"/>
      <c r="FI38" s="930"/>
      <c r="FJ38" s="930"/>
      <c r="FK38" s="930"/>
      <c r="FL38" s="930"/>
      <c r="FM38" s="930"/>
      <c r="FN38" s="930"/>
      <c r="FO38" s="930"/>
      <c r="FP38" s="930"/>
      <c r="FQ38" s="930"/>
      <c r="FR38" s="930"/>
      <c r="FS38" s="930"/>
      <c r="FT38" s="930"/>
      <c r="FU38" s="930"/>
      <c r="FV38" s="930"/>
      <c r="FW38" s="930"/>
      <c r="FX38" s="930"/>
      <c r="FY38" s="930"/>
      <c r="FZ38" s="930"/>
      <c r="GA38" s="930"/>
      <c r="GB38" s="930"/>
      <c r="GC38" s="930"/>
      <c r="GD38" s="930"/>
      <c r="GE38" s="930"/>
      <c r="GF38" s="930"/>
      <c r="GG38" s="930"/>
      <c r="GH38" s="930"/>
      <c r="GI38" s="930"/>
      <c r="GJ38" s="930"/>
      <c r="GK38" s="930"/>
      <c r="GL38" s="930"/>
      <c r="GM38" s="930"/>
      <c r="GN38" s="930"/>
      <c r="GO38" s="930"/>
      <c r="GP38" s="930"/>
      <c r="GQ38" s="930"/>
      <c r="GR38" s="930"/>
      <c r="GS38" s="930"/>
      <c r="GT38" s="930"/>
      <c r="GU38" s="930"/>
      <c r="GV38" s="930"/>
      <c r="GW38" s="930"/>
      <c r="GX38" s="930"/>
      <c r="GY38" s="930"/>
      <c r="GZ38" s="930"/>
      <c r="HA38" s="930"/>
      <c r="HB38" s="930"/>
      <c r="HC38" s="930"/>
      <c r="HD38" s="930"/>
      <c r="HE38" s="930"/>
      <c r="HF38" s="930"/>
      <c r="HG38" s="930"/>
      <c r="HH38" s="930"/>
      <c r="HI38" s="930"/>
      <c r="HJ38" s="930"/>
      <c r="HK38" s="930"/>
      <c r="HL38" s="930"/>
      <c r="HM38" s="930"/>
      <c r="HN38" s="930"/>
      <c r="HO38" s="930"/>
      <c r="HP38" s="930"/>
      <c r="HQ38" s="930"/>
      <c r="HR38" s="930"/>
      <c r="HS38" s="930"/>
      <c r="HT38" s="930"/>
      <c r="HU38" s="930"/>
      <c r="HV38" s="930"/>
      <c r="HW38" s="930"/>
      <c r="HX38" s="930"/>
      <c r="HY38" s="930"/>
      <c r="HZ38" s="930"/>
      <c r="IA38" s="930"/>
      <c r="IB38" s="930"/>
      <c r="IC38" s="930"/>
      <c r="ID38" s="930"/>
      <c r="IE38" s="930"/>
      <c r="IF38" s="930"/>
      <c r="IG38" s="930"/>
      <c r="IH38" s="930"/>
      <c r="II38" s="930"/>
      <c r="IJ38" s="930"/>
      <c r="IK38" s="930"/>
      <c r="IL38" s="930"/>
      <c r="IM38" s="930"/>
      <c r="IN38" s="930"/>
      <c r="IO38" s="930"/>
      <c r="IP38" s="930"/>
      <c r="IQ38" s="930"/>
      <c r="IR38" s="930"/>
      <c r="IS38" s="930"/>
      <c r="IT38" s="930"/>
      <c r="IU38" s="930"/>
      <c r="IV38" s="930"/>
    </row>
    <row r="39" spans="1:256">
      <c r="A39" s="935">
        <f>+A38+1</f>
        <v>21</v>
      </c>
      <c r="B39" s="936" t="s">
        <v>1469</v>
      </c>
      <c r="C39" s="936"/>
      <c r="D39" s="936"/>
      <c r="E39" s="936" t="s">
        <v>578</v>
      </c>
      <c r="F39" s="932"/>
      <c r="G39" s="930"/>
      <c r="H39" s="869">
        <v>0</v>
      </c>
      <c r="I39" s="932"/>
      <c r="J39" s="930"/>
      <c r="K39" s="930"/>
      <c r="L39" s="930"/>
      <c r="M39" s="930"/>
      <c r="N39" s="930"/>
      <c r="O39" s="930"/>
      <c r="P39" s="930"/>
      <c r="Q39" s="930"/>
      <c r="R39" s="930"/>
      <c r="S39" s="930"/>
      <c r="T39" s="930"/>
      <c r="U39" s="930"/>
      <c r="V39" s="930"/>
      <c r="W39" s="930"/>
      <c r="X39" s="930"/>
      <c r="Y39" s="930"/>
      <c r="Z39" s="930"/>
      <c r="AA39" s="930"/>
      <c r="AB39" s="930"/>
      <c r="AC39" s="930"/>
      <c r="AD39" s="930"/>
      <c r="AE39" s="930"/>
      <c r="AF39" s="930"/>
      <c r="AG39" s="930"/>
      <c r="AH39" s="930"/>
      <c r="AI39" s="930"/>
      <c r="AJ39" s="930"/>
      <c r="AK39" s="930"/>
      <c r="AL39" s="930"/>
      <c r="AM39" s="930"/>
      <c r="AN39" s="930"/>
      <c r="AO39" s="930"/>
      <c r="AP39" s="930"/>
      <c r="AQ39" s="930"/>
      <c r="AR39" s="930"/>
      <c r="AS39" s="930"/>
      <c r="AT39" s="930"/>
      <c r="AU39" s="930"/>
      <c r="AV39" s="930"/>
      <c r="AW39" s="930"/>
      <c r="AX39" s="930"/>
      <c r="AY39" s="930"/>
      <c r="AZ39" s="930"/>
      <c r="BA39" s="930"/>
      <c r="BB39" s="930"/>
      <c r="BC39" s="930"/>
      <c r="BD39" s="930"/>
      <c r="BE39" s="930"/>
      <c r="BF39" s="930"/>
      <c r="BG39" s="930"/>
      <c r="BH39" s="930"/>
      <c r="BI39" s="930"/>
      <c r="BJ39" s="930"/>
      <c r="BK39" s="930"/>
      <c r="BL39" s="930"/>
      <c r="BM39" s="930"/>
      <c r="BN39" s="930"/>
      <c r="BO39" s="930"/>
      <c r="BP39" s="930"/>
      <c r="BQ39" s="930"/>
      <c r="BR39" s="930"/>
      <c r="BS39" s="930"/>
      <c r="BT39" s="930"/>
      <c r="BU39" s="930"/>
      <c r="BV39" s="930"/>
      <c r="BW39" s="930"/>
      <c r="BX39" s="930"/>
      <c r="BY39" s="930"/>
      <c r="BZ39" s="930"/>
      <c r="CA39" s="930"/>
      <c r="CB39" s="930"/>
      <c r="CC39" s="930"/>
      <c r="CD39" s="930"/>
      <c r="CE39" s="930"/>
      <c r="CF39" s="930"/>
      <c r="CG39" s="930"/>
      <c r="CH39" s="930"/>
      <c r="CI39" s="930"/>
      <c r="CJ39" s="930"/>
      <c r="CK39" s="930"/>
      <c r="CL39" s="930"/>
      <c r="CM39" s="930"/>
      <c r="CN39" s="930"/>
      <c r="CO39" s="930"/>
      <c r="CP39" s="930"/>
      <c r="CQ39" s="930"/>
      <c r="CR39" s="930"/>
      <c r="CS39" s="930"/>
      <c r="CT39" s="930"/>
      <c r="CU39" s="930"/>
      <c r="CV39" s="930"/>
      <c r="CW39" s="930"/>
      <c r="CX39" s="930"/>
      <c r="CY39" s="930"/>
      <c r="CZ39" s="930"/>
      <c r="DA39" s="930"/>
      <c r="DB39" s="930"/>
      <c r="DC39" s="930"/>
      <c r="DD39" s="930"/>
      <c r="DE39" s="930"/>
      <c r="DF39" s="930"/>
      <c r="DG39" s="930"/>
      <c r="DH39" s="930"/>
      <c r="DI39" s="930"/>
      <c r="DJ39" s="930"/>
      <c r="DK39" s="930"/>
      <c r="DL39" s="930"/>
      <c r="DM39" s="930"/>
      <c r="DN39" s="930"/>
      <c r="DO39" s="930"/>
      <c r="DP39" s="930"/>
      <c r="DQ39" s="930"/>
      <c r="DR39" s="930"/>
      <c r="DS39" s="930"/>
      <c r="DT39" s="930"/>
      <c r="DU39" s="930"/>
      <c r="DV39" s="930"/>
      <c r="DW39" s="930"/>
      <c r="DX39" s="930"/>
      <c r="DY39" s="930"/>
      <c r="DZ39" s="930"/>
      <c r="EA39" s="930"/>
      <c r="EB39" s="930"/>
      <c r="EC39" s="930"/>
      <c r="ED39" s="930"/>
      <c r="EE39" s="930"/>
      <c r="EF39" s="930"/>
      <c r="EG39" s="930"/>
      <c r="EH39" s="930"/>
      <c r="EI39" s="930"/>
      <c r="EJ39" s="930"/>
      <c r="EK39" s="930"/>
      <c r="EL39" s="930"/>
      <c r="EM39" s="930"/>
      <c r="EN39" s="930"/>
      <c r="EO39" s="930"/>
      <c r="EP39" s="930"/>
      <c r="EQ39" s="930"/>
      <c r="ER39" s="930"/>
      <c r="ES39" s="930"/>
      <c r="ET39" s="930"/>
      <c r="EU39" s="930"/>
      <c r="EV39" s="930"/>
      <c r="EW39" s="930"/>
      <c r="EX39" s="930"/>
      <c r="EY39" s="930"/>
      <c r="EZ39" s="930"/>
      <c r="FA39" s="930"/>
      <c r="FB39" s="930"/>
      <c r="FC39" s="930"/>
      <c r="FD39" s="930"/>
      <c r="FE39" s="930"/>
      <c r="FF39" s="930"/>
      <c r="FG39" s="930"/>
      <c r="FH39" s="930"/>
      <c r="FI39" s="930"/>
      <c r="FJ39" s="930"/>
      <c r="FK39" s="930"/>
      <c r="FL39" s="930"/>
      <c r="FM39" s="930"/>
      <c r="FN39" s="930"/>
      <c r="FO39" s="930"/>
      <c r="FP39" s="930"/>
      <c r="FQ39" s="930"/>
      <c r="FR39" s="930"/>
      <c r="FS39" s="930"/>
      <c r="FT39" s="930"/>
      <c r="FU39" s="930"/>
      <c r="FV39" s="930"/>
      <c r="FW39" s="930"/>
      <c r="FX39" s="930"/>
      <c r="FY39" s="930"/>
      <c r="FZ39" s="930"/>
      <c r="GA39" s="930"/>
      <c r="GB39" s="930"/>
      <c r="GC39" s="930"/>
      <c r="GD39" s="930"/>
      <c r="GE39" s="930"/>
      <c r="GF39" s="930"/>
      <c r="GG39" s="930"/>
      <c r="GH39" s="930"/>
      <c r="GI39" s="930"/>
      <c r="GJ39" s="930"/>
      <c r="GK39" s="930"/>
      <c r="GL39" s="930"/>
      <c r="GM39" s="930"/>
      <c r="GN39" s="930"/>
      <c r="GO39" s="930"/>
      <c r="GP39" s="930"/>
      <c r="GQ39" s="930"/>
      <c r="GR39" s="930"/>
      <c r="GS39" s="930"/>
      <c r="GT39" s="930"/>
      <c r="GU39" s="930"/>
      <c r="GV39" s="930"/>
      <c r="GW39" s="930"/>
      <c r="GX39" s="930"/>
      <c r="GY39" s="930"/>
      <c r="GZ39" s="930"/>
      <c r="HA39" s="930"/>
      <c r="HB39" s="930"/>
      <c r="HC39" s="930"/>
      <c r="HD39" s="930"/>
      <c r="HE39" s="930"/>
      <c r="HF39" s="930"/>
      <c r="HG39" s="930"/>
      <c r="HH39" s="930"/>
      <c r="HI39" s="930"/>
      <c r="HJ39" s="930"/>
      <c r="HK39" s="930"/>
      <c r="HL39" s="930"/>
      <c r="HM39" s="930"/>
      <c r="HN39" s="930"/>
      <c r="HO39" s="930"/>
      <c r="HP39" s="930"/>
      <c r="HQ39" s="930"/>
      <c r="HR39" s="930"/>
      <c r="HS39" s="930"/>
      <c r="HT39" s="930"/>
      <c r="HU39" s="930"/>
      <c r="HV39" s="930"/>
      <c r="HW39" s="930"/>
      <c r="HX39" s="930"/>
      <c r="HY39" s="930"/>
      <c r="HZ39" s="930"/>
      <c r="IA39" s="930"/>
      <c r="IB39" s="930"/>
      <c r="IC39" s="930"/>
      <c r="ID39" s="930"/>
      <c r="IE39" s="930"/>
      <c r="IF39" s="930"/>
      <c r="IG39" s="930"/>
      <c r="IH39" s="930"/>
      <c r="II39" s="930"/>
      <c r="IJ39" s="930"/>
      <c r="IK39" s="930"/>
      <c r="IL39" s="930"/>
      <c r="IM39" s="930"/>
      <c r="IN39" s="930"/>
      <c r="IO39" s="930"/>
      <c r="IP39" s="930"/>
      <c r="IQ39" s="930"/>
      <c r="IR39" s="930"/>
      <c r="IS39" s="930"/>
      <c r="IT39" s="930"/>
      <c r="IU39" s="930"/>
      <c r="IV39" s="930"/>
    </row>
    <row r="40" spans="1:256">
      <c r="A40" s="935">
        <f>+A39+1</f>
        <v>22</v>
      </c>
      <c r="B40" s="936" t="s">
        <v>561</v>
      </c>
      <c r="C40" s="936"/>
      <c r="D40" s="936"/>
      <c r="E40" s="936" t="str">
        <f>"Line "&amp;A38&amp;" less Line "&amp;A39</f>
        <v>Line 20 less Line 21</v>
      </c>
      <c r="F40" s="932"/>
      <c r="G40" s="930"/>
      <c r="H40" s="937">
        <f>+H38-H39</f>
        <v>0</v>
      </c>
      <c r="I40" s="932"/>
      <c r="J40" s="930"/>
      <c r="K40" s="930"/>
      <c r="L40" s="930"/>
      <c r="M40" s="930"/>
      <c r="N40" s="930"/>
      <c r="O40" s="930"/>
      <c r="P40" s="930"/>
      <c r="Q40" s="930"/>
      <c r="R40" s="930"/>
      <c r="S40" s="930"/>
      <c r="T40" s="930"/>
      <c r="U40" s="930"/>
      <c r="V40" s="930"/>
      <c r="W40" s="930"/>
      <c r="X40" s="930"/>
      <c r="Y40" s="930"/>
      <c r="Z40" s="930"/>
      <c r="AA40" s="930"/>
      <c r="AB40" s="930"/>
      <c r="AC40" s="930"/>
      <c r="AD40" s="930"/>
      <c r="AE40" s="930"/>
      <c r="AF40" s="930"/>
      <c r="AG40" s="930"/>
      <c r="AH40" s="930"/>
      <c r="AI40" s="930"/>
      <c r="AJ40" s="930"/>
      <c r="AK40" s="930"/>
      <c r="AL40" s="930"/>
      <c r="AM40" s="930"/>
      <c r="AN40" s="930"/>
      <c r="AO40" s="930"/>
      <c r="AP40" s="930"/>
      <c r="AQ40" s="930"/>
      <c r="AR40" s="930"/>
      <c r="AS40" s="930"/>
      <c r="AT40" s="930"/>
      <c r="AU40" s="930"/>
      <c r="AV40" s="930"/>
      <c r="AW40" s="930"/>
      <c r="AX40" s="930"/>
      <c r="AY40" s="930"/>
      <c r="AZ40" s="930"/>
      <c r="BA40" s="930"/>
      <c r="BB40" s="930"/>
      <c r="BC40" s="930"/>
      <c r="BD40" s="930"/>
      <c r="BE40" s="930"/>
      <c r="BF40" s="930"/>
      <c r="BG40" s="930"/>
      <c r="BH40" s="930"/>
      <c r="BI40" s="930"/>
      <c r="BJ40" s="930"/>
      <c r="BK40" s="930"/>
      <c r="BL40" s="930"/>
      <c r="BM40" s="930"/>
      <c r="BN40" s="930"/>
      <c r="BO40" s="930"/>
      <c r="BP40" s="930"/>
      <c r="BQ40" s="930"/>
      <c r="BR40" s="930"/>
      <c r="BS40" s="930"/>
      <c r="BT40" s="930"/>
      <c r="BU40" s="930"/>
      <c r="BV40" s="930"/>
      <c r="BW40" s="930"/>
      <c r="BX40" s="930"/>
      <c r="BY40" s="930"/>
      <c r="BZ40" s="930"/>
      <c r="CA40" s="930"/>
      <c r="CB40" s="930"/>
      <c r="CC40" s="930"/>
      <c r="CD40" s="930"/>
      <c r="CE40" s="930"/>
      <c r="CF40" s="930"/>
      <c r="CG40" s="930"/>
      <c r="CH40" s="930"/>
      <c r="CI40" s="930"/>
      <c r="CJ40" s="930"/>
      <c r="CK40" s="930"/>
      <c r="CL40" s="930"/>
      <c r="CM40" s="930"/>
      <c r="CN40" s="930"/>
      <c r="CO40" s="930"/>
      <c r="CP40" s="930"/>
      <c r="CQ40" s="930"/>
      <c r="CR40" s="930"/>
      <c r="CS40" s="930"/>
      <c r="CT40" s="930"/>
      <c r="CU40" s="930"/>
      <c r="CV40" s="930"/>
      <c r="CW40" s="930"/>
      <c r="CX40" s="930"/>
      <c r="CY40" s="930"/>
      <c r="CZ40" s="930"/>
      <c r="DA40" s="930"/>
      <c r="DB40" s="930"/>
      <c r="DC40" s="930"/>
      <c r="DD40" s="930"/>
      <c r="DE40" s="930"/>
      <c r="DF40" s="930"/>
      <c r="DG40" s="930"/>
      <c r="DH40" s="930"/>
      <c r="DI40" s="930"/>
      <c r="DJ40" s="930"/>
      <c r="DK40" s="930"/>
      <c r="DL40" s="930"/>
      <c r="DM40" s="930"/>
      <c r="DN40" s="930"/>
      <c r="DO40" s="930"/>
      <c r="DP40" s="930"/>
      <c r="DQ40" s="930"/>
      <c r="DR40" s="930"/>
      <c r="DS40" s="930"/>
      <c r="DT40" s="930"/>
      <c r="DU40" s="930"/>
      <c r="DV40" s="930"/>
      <c r="DW40" s="930"/>
      <c r="DX40" s="930"/>
      <c r="DY40" s="930"/>
      <c r="DZ40" s="930"/>
      <c r="EA40" s="930"/>
      <c r="EB40" s="930"/>
      <c r="EC40" s="930"/>
      <c r="ED40" s="930"/>
      <c r="EE40" s="930"/>
      <c r="EF40" s="930"/>
      <c r="EG40" s="930"/>
      <c r="EH40" s="930"/>
      <c r="EI40" s="930"/>
      <c r="EJ40" s="930"/>
      <c r="EK40" s="930"/>
      <c r="EL40" s="930"/>
      <c r="EM40" s="930"/>
      <c r="EN40" s="930"/>
      <c r="EO40" s="930"/>
      <c r="EP40" s="930"/>
      <c r="EQ40" s="930"/>
      <c r="ER40" s="930"/>
      <c r="ES40" s="930"/>
      <c r="ET40" s="930"/>
      <c r="EU40" s="930"/>
      <c r="EV40" s="930"/>
      <c r="EW40" s="930"/>
      <c r="EX40" s="930"/>
      <c r="EY40" s="930"/>
      <c r="EZ40" s="930"/>
      <c r="FA40" s="930"/>
      <c r="FB40" s="930"/>
      <c r="FC40" s="930"/>
      <c r="FD40" s="930"/>
      <c r="FE40" s="930"/>
      <c r="FF40" s="930"/>
      <c r="FG40" s="930"/>
      <c r="FH40" s="930"/>
      <c r="FI40" s="930"/>
      <c r="FJ40" s="930"/>
      <c r="FK40" s="930"/>
      <c r="FL40" s="930"/>
      <c r="FM40" s="930"/>
      <c r="FN40" s="930"/>
      <c r="FO40" s="930"/>
      <c r="FP40" s="930"/>
      <c r="FQ40" s="930"/>
      <c r="FR40" s="930"/>
      <c r="FS40" s="930"/>
      <c r="FT40" s="930"/>
      <c r="FU40" s="930"/>
      <c r="FV40" s="930"/>
      <c r="FW40" s="930"/>
      <c r="FX40" s="930"/>
      <c r="FY40" s="930"/>
      <c r="FZ40" s="930"/>
      <c r="GA40" s="930"/>
      <c r="GB40" s="930"/>
      <c r="GC40" s="930"/>
      <c r="GD40" s="930"/>
      <c r="GE40" s="930"/>
      <c r="GF40" s="930"/>
      <c r="GG40" s="930"/>
      <c r="GH40" s="930"/>
      <c r="GI40" s="930"/>
      <c r="GJ40" s="930"/>
      <c r="GK40" s="930"/>
      <c r="GL40" s="930"/>
      <c r="GM40" s="930"/>
      <c r="GN40" s="930"/>
      <c r="GO40" s="930"/>
      <c r="GP40" s="930"/>
      <c r="GQ40" s="930"/>
      <c r="GR40" s="930"/>
      <c r="GS40" s="930"/>
      <c r="GT40" s="930"/>
      <c r="GU40" s="930"/>
      <c r="GV40" s="930"/>
      <c r="GW40" s="930"/>
      <c r="GX40" s="930"/>
      <c r="GY40" s="930"/>
      <c r="GZ40" s="930"/>
      <c r="HA40" s="930"/>
      <c r="HB40" s="930"/>
      <c r="HC40" s="930"/>
      <c r="HD40" s="930"/>
      <c r="HE40" s="930"/>
      <c r="HF40" s="930"/>
      <c r="HG40" s="930"/>
      <c r="HH40" s="930"/>
      <c r="HI40" s="930"/>
      <c r="HJ40" s="930"/>
      <c r="HK40" s="930"/>
      <c r="HL40" s="930"/>
      <c r="HM40" s="930"/>
      <c r="HN40" s="930"/>
      <c r="HO40" s="930"/>
      <c r="HP40" s="930"/>
      <c r="HQ40" s="930"/>
      <c r="HR40" s="930"/>
      <c r="HS40" s="930"/>
      <c r="HT40" s="930"/>
      <c r="HU40" s="930"/>
      <c r="HV40" s="930"/>
      <c r="HW40" s="930"/>
      <c r="HX40" s="930"/>
      <c r="HY40" s="930"/>
      <c r="HZ40" s="930"/>
      <c r="IA40" s="930"/>
      <c r="IB40" s="930"/>
      <c r="IC40" s="930"/>
      <c r="ID40" s="930"/>
      <c r="IE40" s="930"/>
      <c r="IF40" s="930"/>
      <c r="IG40" s="930"/>
      <c r="IH40" s="930"/>
      <c r="II40" s="930"/>
      <c r="IJ40" s="930"/>
      <c r="IK40" s="930"/>
      <c r="IL40" s="930"/>
      <c r="IM40" s="930"/>
      <c r="IN40" s="930"/>
      <c r="IO40" s="930"/>
      <c r="IP40" s="930"/>
      <c r="IQ40" s="930"/>
      <c r="IR40" s="930"/>
      <c r="IS40" s="930"/>
      <c r="IT40" s="930"/>
      <c r="IU40" s="930"/>
      <c r="IV40" s="930"/>
    </row>
    <row r="41" spans="1:256">
      <c r="A41" s="935">
        <f>+A40+1</f>
        <v>23</v>
      </c>
      <c r="B41" s="936" t="s">
        <v>562</v>
      </c>
      <c r="C41" s="936"/>
      <c r="D41" s="936"/>
      <c r="E41" s="936" t="str">
        <f>"Line "&amp;A40&amp;" / 12"</f>
        <v>Line 22 / 12</v>
      </c>
      <c r="F41" s="932"/>
      <c r="G41" s="930"/>
      <c r="H41" s="938">
        <f>+H40/12</f>
        <v>0</v>
      </c>
      <c r="I41" s="932"/>
      <c r="J41" s="930"/>
      <c r="K41" s="930"/>
      <c r="L41" s="930"/>
      <c r="M41" s="930"/>
      <c r="N41" s="930"/>
      <c r="O41" s="930"/>
      <c r="P41" s="930"/>
      <c r="Q41" s="930"/>
      <c r="R41" s="930"/>
      <c r="S41" s="930"/>
      <c r="T41" s="930"/>
      <c r="U41" s="930"/>
      <c r="V41" s="930"/>
      <c r="W41" s="930"/>
      <c r="X41" s="930"/>
      <c r="Y41" s="930"/>
      <c r="Z41" s="930"/>
      <c r="AA41" s="930"/>
      <c r="AB41" s="930"/>
      <c r="AC41" s="930"/>
      <c r="AD41" s="930"/>
      <c r="AE41" s="930"/>
      <c r="AF41" s="930"/>
      <c r="AG41" s="930"/>
      <c r="AH41" s="930"/>
      <c r="AI41" s="930"/>
      <c r="AJ41" s="930"/>
      <c r="AK41" s="930"/>
      <c r="AL41" s="930"/>
      <c r="AM41" s="930"/>
      <c r="AN41" s="930"/>
      <c r="AO41" s="930"/>
      <c r="AP41" s="930"/>
      <c r="AQ41" s="930"/>
      <c r="AR41" s="930"/>
      <c r="AS41" s="930"/>
      <c r="AT41" s="930"/>
      <c r="AU41" s="930"/>
      <c r="AV41" s="930"/>
      <c r="AW41" s="930"/>
      <c r="AX41" s="930"/>
      <c r="AY41" s="930"/>
      <c r="AZ41" s="930"/>
      <c r="BA41" s="930"/>
      <c r="BB41" s="930"/>
      <c r="BC41" s="930"/>
      <c r="BD41" s="930"/>
      <c r="BE41" s="930"/>
      <c r="BF41" s="930"/>
      <c r="BG41" s="930"/>
      <c r="BH41" s="930"/>
      <c r="BI41" s="930"/>
      <c r="BJ41" s="930"/>
      <c r="BK41" s="930"/>
      <c r="BL41" s="930"/>
      <c r="BM41" s="930"/>
      <c r="BN41" s="930"/>
      <c r="BO41" s="930"/>
      <c r="BP41" s="930"/>
      <c r="BQ41" s="930"/>
      <c r="BR41" s="930"/>
      <c r="BS41" s="930"/>
      <c r="BT41" s="930"/>
      <c r="BU41" s="930"/>
      <c r="BV41" s="930"/>
      <c r="BW41" s="930"/>
      <c r="BX41" s="930"/>
      <c r="BY41" s="930"/>
      <c r="BZ41" s="930"/>
      <c r="CA41" s="930"/>
      <c r="CB41" s="930"/>
      <c r="CC41" s="930"/>
      <c r="CD41" s="930"/>
      <c r="CE41" s="930"/>
      <c r="CF41" s="930"/>
      <c r="CG41" s="930"/>
      <c r="CH41" s="930"/>
      <c r="CI41" s="930"/>
      <c r="CJ41" s="930"/>
      <c r="CK41" s="930"/>
      <c r="CL41" s="930"/>
      <c r="CM41" s="930"/>
      <c r="CN41" s="930"/>
      <c r="CO41" s="930"/>
      <c r="CP41" s="930"/>
      <c r="CQ41" s="930"/>
      <c r="CR41" s="930"/>
      <c r="CS41" s="930"/>
      <c r="CT41" s="930"/>
      <c r="CU41" s="930"/>
      <c r="CV41" s="930"/>
      <c r="CW41" s="930"/>
      <c r="CX41" s="930"/>
      <c r="CY41" s="930"/>
      <c r="CZ41" s="930"/>
      <c r="DA41" s="930"/>
      <c r="DB41" s="930"/>
      <c r="DC41" s="930"/>
      <c r="DD41" s="930"/>
      <c r="DE41" s="930"/>
      <c r="DF41" s="930"/>
      <c r="DG41" s="930"/>
      <c r="DH41" s="930"/>
      <c r="DI41" s="930"/>
      <c r="DJ41" s="930"/>
      <c r="DK41" s="930"/>
      <c r="DL41" s="930"/>
      <c r="DM41" s="930"/>
      <c r="DN41" s="930"/>
      <c r="DO41" s="930"/>
      <c r="DP41" s="930"/>
      <c r="DQ41" s="930"/>
      <c r="DR41" s="930"/>
      <c r="DS41" s="930"/>
      <c r="DT41" s="930"/>
      <c r="DU41" s="930"/>
      <c r="DV41" s="930"/>
      <c r="DW41" s="930"/>
      <c r="DX41" s="930"/>
      <c r="DY41" s="930"/>
      <c r="DZ41" s="930"/>
      <c r="EA41" s="930"/>
      <c r="EB41" s="930"/>
      <c r="EC41" s="930"/>
      <c r="ED41" s="930"/>
      <c r="EE41" s="930"/>
      <c r="EF41" s="930"/>
      <c r="EG41" s="930"/>
      <c r="EH41" s="930"/>
      <c r="EI41" s="930"/>
      <c r="EJ41" s="930"/>
      <c r="EK41" s="930"/>
      <c r="EL41" s="930"/>
      <c r="EM41" s="930"/>
      <c r="EN41" s="930"/>
      <c r="EO41" s="930"/>
      <c r="EP41" s="930"/>
      <c r="EQ41" s="930"/>
      <c r="ER41" s="930"/>
      <c r="ES41" s="930"/>
      <c r="ET41" s="930"/>
      <c r="EU41" s="930"/>
      <c r="EV41" s="930"/>
      <c r="EW41" s="930"/>
      <c r="EX41" s="930"/>
      <c r="EY41" s="930"/>
      <c r="EZ41" s="930"/>
      <c r="FA41" s="930"/>
      <c r="FB41" s="930"/>
      <c r="FC41" s="930"/>
      <c r="FD41" s="930"/>
      <c r="FE41" s="930"/>
      <c r="FF41" s="930"/>
      <c r="FG41" s="930"/>
      <c r="FH41" s="930"/>
      <c r="FI41" s="930"/>
      <c r="FJ41" s="930"/>
      <c r="FK41" s="930"/>
      <c r="FL41" s="930"/>
      <c r="FM41" s="930"/>
      <c r="FN41" s="930"/>
      <c r="FO41" s="930"/>
      <c r="FP41" s="930"/>
      <c r="FQ41" s="930"/>
      <c r="FR41" s="930"/>
      <c r="FS41" s="930"/>
      <c r="FT41" s="930"/>
      <c r="FU41" s="930"/>
      <c r="FV41" s="930"/>
      <c r="FW41" s="930"/>
      <c r="FX41" s="930"/>
      <c r="FY41" s="930"/>
      <c r="FZ41" s="930"/>
      <c r="GA41" s="930"/>
      <c r="GB41" s="930"/>
      <c r="GC41" s="930"/>
      <c r="GD41" s="930"/>
      <c r="GE41" s="930"/>
      <c r="GF41" s="930"/>
      <c r="GG41" s="930"/>
      <c r="GH41" s="930"/>
      <c r="GI41" s="930"/>
      <c r="GJ41" s="930"/>
      <c r="GK41" s="930"/>
      <c r="GL41" s="930"/>
      <c r="GM41" s="930"/>
      <c r="GN41" s="930"/>
      <c r="GO41" s="930"/>
      <c r="GP41" s="930"/>
      <c r="GQ41" s="930"/>
      <c r="GR41" s="930"/>
      <c r="GS41" s="930"/>
      <c r="GT41" s="930"/>
      <c r="GU41" s="930"/>
      <c r="GV41" s="930"/>
      <c r="GW41" s="930"/>
      <c r="GX41" s="930"/>
      <c r="GY41" s="930"/>
      <c r="GZ41" s="930"/>
      <c r="HA41" s="930"/>
      <c r="HB41" s="930"/>
      <c r="HC41" s="930"/>
      <c r="HD41" s="930"/>
      <c r="HE41" s="930"/>
      <c r="HF41" s="930"/>
      <c r="HG41" s="930"/>
      <c r="HH41" s="930"/>
      <c r="HI41" s="930"/>
      <c r="HJ41" s="930"/>
      <c r="HK41" s="930"/>
      <c r="HL41" s="930"/>
      <c r="HM41" s="930"/>
      <c r="HN41" s="930"/>
      <c r="HO41" s="930"/>
      <c r="HP41" s="930"/>
      <c r="HQ41" s="930"/>
      <c r="HR41" s="930"/>
      <c r="HS41" s="930"/>
      <c r="HT41" s="930"/>
      <c r="HU41" s="930"/>
      <c r="HV41" s="930"/>
      <c r="HW41" s="930"/>
      <c r="HX41" s="930"/>
      <c r="HY41" s="930"/>
      <c r="HZ41" s="930"/>
      <c r="IA41" s="930"/>
      <c r="IB41" s="930"/>
      <c r="IC41" s="930"/>
      <c r="ID41" s="930"/>
      <c r="IE41" s="930"/>
      <c r="IF41" s="930"/>
      <c r="IG41" s="930"/>
      <c r="IH41" s="930"/>
      <c r="II41" s="930"/>
      <c r="IJ41" s="930"/>
      <c r="IK41" s="930"/>
      <c r="IL41" s="930"/>
      <c r="IM41" s="930"/>
      <c r="IN41" s="930"/>
      <c r="IO41" s="930"/>
      <c r="IP41" s="930"/>
      <c r="IQ41" s="930"/>
      <c r="IR41" s="930"/>
      <c r="IS41" s="930"/>
      <c r="IT41" s="930"/>
      <c r="IU41" s="930"/>
      <c r="IV41" s="930"/>
    </row>
    <row r="42" spans="1:256">
      <c r="A42" s="936"/>
      <c r="B42" s="936"/>
      <c r="C42" s="936"/>
      <c r="D42" s="936"/>
      <c r="E42" s="932"/>
      <c r="F42" s="932"/>
      <c r="G42" s="932"/>
      <c r="H42" s="932"/>
      <c r="I42" s="932"/>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0"/>
      <c r="AY42" s="930"/>
      <c r="AZ42" s="930"/>
      <c r="BA42" s="930"/>
      <c r="BB42" s="930"/>
      <c r="BC42" s="930"/>
      <c r="BD42" s="930"/>
      <c r="BE42" s="930"/>
      <c r="BF42" s="930"/>
      <c r="BG42" s="930"/>
      <c r="BH42" s="930"/>
      <c r="BI42" s="930"/>
      <c r="BJ42" s="930"/>
      <c r="BK42" s="930"/>
      <c r="BL42" s="930"/>
      <c r="BM42" s="930"/>
      <c r="BN42" s="930"/>
      <c r="BO42" s="930"/>
      <c r="BP42" s="930"/>
      <c r="BQ42" s="930"/>
      <c r="BR42" s="930"/>
      <c r="BS42" s="930"/>
      <c r="BT42" s="930"/>
      <c r="BU42" s="930"/>
      <c r="BV42" s="930"/>
      <c r="BW42" s="930"/>
      <c r="BX42" s="930"/>
      <c r="BY42" s="930"/>
      <c r="BZ42" s="930"/>
      <c r="CA42" s="930"/>
      <c r="CB42" s="930"/>
      <c r="CC42" s="930"/>
      <c r="CD42" s="930"/>
      <c r="CE42" s="930"/>
      <c r="CF42" s="930"/>
      <c r="CG42" s="930"/>
      <c r="CH42" s="930"/>
      <c r="CI42" s="930"/>
      <c r="CJ42" s="930"/>
      <c r="CK42" s="930"/>
      <c r="CL42" s="930"/>
      <c r="CM42" s="930"/>
      <c r="CN42" s="930"/>
      <c r="CO42" s="930"/>
      <c r="CP42" s="930"/>
      <c r="CQ42" s="930"/>
      <c r="CR42" s="930"/>
      <c r="CS42" s="930"/>
      <c r="CT42" s="930"/>
      <c r="CU42" s="930"/>
      <c r="CV42" s="930"/>
      <c r="CW42" s="930"/>
      <c r="CX42" s="930"/>
      <c r="CY42" s="930"/>
      <c r="CZ42" s="930"/>
      <c r="DA42" s="930"/>
      <c r="DB42" s="930"/>
      <c r="DC42" s="930"/>
      <c r="DD42" s="930"/>
      <c r="DE42" s="930"/>
      <c r="DF42" s="930"/>
      <c r="DG42" s="930"/>
      <c r="DH42" s="930"/>
      <c r="DI42" s="930"/>
      <c r="DJ42" s="930"/>
      <c r="DK42" s="930"/>
      <c r="DL42" s="930"/>
      <c r="DM42" s="930"/>
      <c r="DN42" s="930"/>
      <c r="DO42" s="930"/>
      <c r="DP42" s="930"/>
      <c r="DQ42" s="930"/>
      <c r="DR42" s="930"/>
      <c r="DS42" s="930"/>
      <c r="DT42" s="930"/>
      <c r="DU42" s="930"/>
      <c r="DV42" s="930"/>
      <c r="DW42" s="930"/>
      <c r="DX42" s="930"/>
      <c r="DY42" s="930"/>
      <c r="DZ42" s="930"/>
      <c r="EA42" s="930"/>
      <c r="EB42" s="930"/>
      <c r="EC42" s="930"/>
      <c r="ED42" s="930"/>
      <c r="EE42" s="930"/>
      <c r="EF42" s="930"/>
      <c r="EG42" s="930"/>
      <c r="EH42" s="930"/>
      <c r="EI42" s="930"/>
      <c r="EJ42" s="930"/>
      <c r="EK42" s="930"/>
      <c r="EL42" s="930"/>
      <c r="EM42" s="930"/>
      <c r="EN42" s="930"/>
      <c r="EO42" s="930"/>
      <c r="EP42" s="930"/>
      <c r="EQ42" s="930"/>
      <c r="ER42" s="930"/>
      <c r="ES42" s="930"/>
      <c r="ET42" s="930"/>
      <c r="EU42" s="930"/>
      <c r="EV42" s="930"/>
      <c r="EW42" s="930"/>
      <c r="EX42" s="930"/>
      <c r="EY42" s="930"/>
      <c r="EZ42" s="930"/>
      <c r="FA42" s="930"/>
      <c r="FB42" s="930"/>
      <c r="FC42" s="930"/>
      <c r="FD42" s="930"/>
      <c r="FE42" s="930"/>
      <c r="FF42" s="930"/>
      <c r="FG42" s="930"/>
      <c r="FH42" s="930"/>
      <c r="FI42" s="930"/>
      <c r="FJ42" s="930"/>
      <c r="FK42" s="930"/>
      <c r="FL42" s="930"/>
      <c r="FM42" s="930"/>
      <c r="FN42" s="930"/>
      <c r="FO42" s="930"/>
      <c r="FP42" s="930"/>
      <c r="FQ42" s="930"/>
      <c r="FR42" s="930"/>
      <c r="FS42" s="930"/>
      <c r="FT42" s="930"/>
      <c r="FU42" s="930"/>
      <c r="FV42" s="930"/>
      <c r="FW42" s="930"/>
      <c r="FX42" s="930"/>
      <c r="FY42" s="930"/>
      <c r="FZ42" s="930"/>
      <c r="GA42" s="930"/>
      <c r="GB42" s="930"/>
      <c r="GC42" s="930"/>
      <c r="GD42" s="930"/>
      <c r="GE42" s="930"/>
      <c r="GF42" s="930"/>
      <c r="GG42" s="930"/>
      <c r="GH42" s="930"/>
      <c r="GI42" s="930"/>
      <c r="GJ42" s="930"/>
      <c r="GK42" s="930"/>
      <c r="GL42" s="930"/>
      <c r="GM42" s="930"/>
      <c r="GN42" s="930"/>
      <c r="GO42" s="930"/>
      <c r="GP42" s="930"/>
      <c r="GQ42" s="930"/>
      <c r="GR42" s="930"/>
      <c r="GS42" s="930"/>
      <c r="GT42" s="930"/>
      <c r="GU42" s="930"/>
      <c r="GV42" s="930"/>
      <c r="GW42" s="930"/>
      <c r="GX42" s="930"/>
      <c r="GY42" s="930"/>
      <c r="GZ42" s="930"/>
      <c r="HA42" s="930"/>
      <c r="HB42" s="930"/>
      <c r="HC42" s="930"/>
      <c r="HD42" s="930"/>
      <c r="HE42" s="930"/>
      <c r="HF42" s="930"/>
      <c r="HG42" s="930"/>
      <c r="HH42" s="930"/>
      <c r="HI42" s="930"/>
      <c r="HJ42" s="930"/>
      <c r="HK42" s="930"/>
      <c r="HL42" s="930"/>
      <c r="HM42" s="930"/>
      <c r="HN42" s="930"/>
      <c r="HO42" s="930"/>
      <c r="HP42" s="930"/>
      <c r="HQ42" s="930"/>
      <c r="HR42" s="930"/>
      <c r="HS42" s="930"/>
      <c r="HT42" s="930"/>
      <c r="HU42" s="930"/>
      <c r="HV42" s="930"/>
      <c r="HW42" s="930"/>
      <c r="HX42" s="930"/>
      <c r="HY42" s="930"/>
      <c r="HZ42" s="930"/>
      <c r="IA42" s="930"/>
      <c r="IB42" s="930"/>
      <c r="IC42" s="930"/>
      <c r="ID42" s="930"/>
      <c r="IE42" s="930"/>
      <c r="IF42" s="930"/>
      <c r="IG42" s="930"/>
      <c r="IH42" s="930"/>
      <c r="II42" s="930"/>
      <c r="IJ42" s="930"/>
      <c r="IK42" s="930"/>
      <c r="IL42" s="930"/>
      <c r="IM42" s="930"/>
      <c r="IN42" s="930"/>
      <c r="IO42" s="930"/>
      <c r="IP42" s="930"/>
      <c r="IQ42" s="930"/>
      <c r="IR42" s="930"/>
      <c r="IS42" s="930"/>
      <c r="IT42" s="930"/>
      <c r="IU42" s="930"/>
      <c r="IV42" s="930"/>
    </row>
    <row r="43" spans="1:256" ht="15.75">
      <c r="A43" s="930"/>
      <c r="B43" s="939" t="s">
        <v>338</v>
      </c>
      <c r="C43" s="939" t="s">
        <v>339</v>
      </c>
      <c r="D43" s="939" t="s">
        <v>60</v>
      </c>
      <c r="E43" s="939" t="s">
        <v>341</v>
      </c>
      <c r="F43" s="939" t="s">
        <v>266</v>
      </c>
      <c r="G43" s="939" t="s">
        <v>267</v>
      </c>
      <c r="H43" s="939" t="s">
        <v>268</v>
      </c>
      <c r="I43" s="939" t="s">
        <v>273</v>
      </c>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0"/>
      <c r="AY43" s="930"/>
      <c r="AZ43" s="930"/>
      <c r="BA43" s="930"/>
      <c r="BB43" s="930"/>
      <c r="BC43" s="930"/>
      <c r="BD43" s="930"/>
      <c r="BE43" s="930"/>
      <c r="BF43" s="930"/>
      <c r="BG43" s="930"/>
      <c r="BH43" s="930"/>
      <c r="BI43" s="930"/>
      <c r="BJ43" s="930"/>
      <c r="BK43" s="930"/>
      <c r="BL43" s="930"/>
      <c r="BM43" s="930"/>
      <c r="BN43" s="930"/>
      <c r="BO43" s="930"/>
      <c r="BP43" s="930"/>
      <c r="BQ43" s="930"/>
      <c r="BR43" s="930"/>
      <c r="BS43" s="930"/>
      <c r="BT43" s="930"/>
      <c r="BU43" s="930"/>
      <c r="BV43" s="930"/>
      <c r="BW43" s="930"/>
      <c r="BX43" s="930"/>
      <c r="BY43" s="930"/>
      <c r="BZ43" s="930"/>
      <c r="CA43" s="930"/>
      <c r="CB43" s="930"/>
      <c r="CC43" s="930"/>
      <c r="CD43" s="930"/>
      <c r="CE43" s="930"/>
      <c r="CF43" s="930"/>
      <c r="CG43" s="930"/>
      <c r="CH43" s="930"/>
      <c r="CI43" s="930"/>
      <c r="CJ43" s="930"/>
      <c r="CK43" s="930"/>
      <c r="CL43" s="930"/>
      <c r="CM43" s="930"/>
      <c r="CN43" s="930"/>
      <c r="CO43" s="930"/>
      <c r="CP43" s="930"/>
      <c r="CQ43" s="930"/>
      <c r="CR43" s="930"/>
      <c r="CS43" s="930"/>
      <c r="CT43" s="930"/>
      <c r="CU43" s="930"/>
      <c r="CV43" s="930"/>
      <c r="CW43" s="930"/>
      <c r="CX43" s="930"/>
      <c r="CY43" s="930"/>
      <c r="CZ43" s="930"/>
      <c r="DA43" s="930"/>
      <c r="DB43" s="930"/>
      <c r="DC43" s="930"/>
      <c r="DD43" s="930"/>
      <c r="DE43" s="930"/>
      <c r="DF43" s="930"/>
      <c r="DG43" s="930"/>
      <c r="DH43" s="930"/>
      <c r="DI43" s="930"/>
      <c r="DJ43" s="930"/>
      <c r="DK43" s="930"/>
      <c r="DL43" s="930"/>
      <c r="DM43" s="930"/>
      <c r="DN43" s="930"/>
      <c r="DO43" s="930"/>
      <c r="DP43" s="930"/>
      <c r="DQ43" s="930"/>
      <c r="DR43" s="930"/>
      <c r="DS43" s="930"/>
      <c r="DT43" s="930"/>
      <c r="DU43" s="930"/>
      <c r="DV43" s="930"/>
      <c r="DW43" s="930"/>
      <c r="DX43" s="930"/>
      <c r="DY43" s="930"/>
      <c r="DZ43" s="930"/>
      <c r="EA43" s="930"/>
      <c r="EB43" s="930"/>
      <c r="EC43" s="930"/>
      <c r="ED43" s="930"/>
      <c r="EE43" s="930"/>
      <c r="EF43" s="930"/>
      <c r="EG43" s="930"/>
      <c r="EH43" s="930"/>
      <c r="EI43" s="930"/>
      <c r="EJ43" s="930"/>
      <c r="EK43" s="930"/>
      <c r="EL43" s="930"/>
      <c r="EM43" s="930"/>
      <c r="EN43" s="930"/>
      <c r="EO43" s="930"/>
      <c r="EP43" s="930"/>
      <c r="EQ43" s="930"/>
      <c r="ER43" s="930"/>
      <c r="ES43" s="930"/>
      <c r="ET43" s="930"/>
      <c r="EU43" s="930"/>
      <c r="EV43" s="930"/>
      <c r="EW43" s="930"/>
      <c r="EX43" s="930"/>
      <c r="EY43" s="930"/>
      <c r="EZ43" s="930"/>
      <c r="FA43" s="930"/>
      <c r="FB43" s="930"/>
      <c r="FC43" s="930"/>
      <c r="FD43" s="930"/>
      <c r="FE43" s="930"/>
      <c r="FF43" s="930"/>
      <c r="FG43" s="930"/>
      <c r="FH43" s="930"/>
      <c r="FI43" s="930"/>
      <c r="FJ43" s="930"/>
      <c r="FK43" s="930"/>
      <c r="FL43" s="930"/>
      <c r="FM43" s="930"/>
      <c r="FN43" s="930"/>
      <c r="FO43" s="930"/>
      <c r="FP43" s="930"/>
      <c r="FQ43" s="930"/>
      <c r="FR43" s="930"/>
      <c r="FS43" s="930"/>
      <c r="FT43" s="930"/>
      <c r="FU43" s="930"/>
      <c r="FV43" s="930"/>
      <c r="FW43" s="930"/>
      <c r="FX43" s="930"/>
      <c r="FY43" s="930"/>
      <c r="FZ43" s="930"/>
      <c r="GA43" s="930"/>
      <c r="GB43" s="930"/>
      <c r="GC43" s="930"/>
      <c r="GD43" s="930"/>
      <c r="GE43" s="930"/>
      <c r="GF43" s="930"/>
      <c r="GG43" s="930"/>
      <c r="GH43" s="930"/>
      <c r="GI43" s="930"/>
      <c r="GJ43" s="930"/>
      <c r="GK43" s="930"/>
      <c r="GL43" s="930"/>
      <c r="GM43" s="930"/>
      <c r="GN43" s="930"/>
      <c r="GO43" s="930"/>
      <c r="GP43" s="930"/>
      <c r="GQ43" s="930"/>
      <c r="GR43" s="930"/>
      <c r="GS43" s="930"/>
      <c r="GT43" s="930"/>
      <c r="GU43" s="930"/>
      <c r="GV43" s="930"/>
      <c r="GW43" s="930"/>
      <c r="GX43" s="930"/>
      <c r="GY43" s="930"/>
      <c r="GZ43" s="930"/>
      <c r="HA43" s="930"/>
      <c r="HB43" s="930"/>
      <c r="HC43" s="930"/>
      <c r="HD43" s="930"/>
      <c r="HE43" s="930"/>
      <c r="HF43" s="930"/>
      <c r="HG43" s="930"/>
      <c r="HH43" s="930"/>
      <c r="HI43" s="930"/>
      <c r="HJ43" s="930"/>
      <c r="HK43" s="930"/>
      <c r="HL43" s="930"/>
      <c r="HM43" s="930"/>
      <c r="HN43" s="930"/>
      <c r="HO43" s="930"/>
      <c r="HP43" s="930"/>
      <c r="HQ43" s="930"/>
      <c r="HR43" s="930"/>
      <c r="HS43" s="930"/>
      <c r="HT43" s="930"/>
      <c r="HU43" s="930"/>
      <c r="HV43" s="930"/>
      <c r="HW43" s="930"/>
      <c r="HX43" s="930"/>
      <c r="HY43" s="930"/>
      <c r="HZ43" s="930"/>
      <c r="IA43" s="930"/>
      <c r="IB43" s="930"/>
      <c r="IC43" s="930"/>
      <c r="ID43" s="930"/>
      <c r="IE43" s="930"/>
      <c r="IF43" s="930"/>
      <c r="IG43" s="930"/>
      <c r="IH43" s="930"/>
      <c r="II43" s="930"/>
      <c r="IJ43" s="930"/>
      <c r="IK43" s="930"/>
      <c r="IL43" s="930"/>
      <c r="IM43" s="930"/>
      <c r="IN43" s="930"/>
      <c r="IO43" s="930"/>
      <c r="IP43" s="930"/>
      <c r="IQ43" s="930"/>
      <c r="IR43" s="930"/>
      <c r="IS43" s="930"/>
      <c r="IT43" s="930"/>
      <c r="IU43" s="930"/>
      <c r="IV43" s="930"/>
    </row>
    <row r="44" spans="1:256" ht="39">
      <c r="A44" s="940" t="s">
        <v>345</v>
      </c>
      <c r="B44" s="934" t="s">
        <v>563</v>
      </c>
      <c r="C44" s="934" t="s">
        <v>564</v>
      </c>
      <c r="D44" s="934" t="s">
        <v>572</v>
      </c>
      <c r="E44" s="934" t="s">
        <v>573</v>
      </c>
      <c r="F44" s="934" t="s">
        <v>574</v>
      </c>
      <c r="G44" s="934" t="s">
        <v>575</v>
      </c>
      <c r="H44" s="934" t="s">
        <v>565</v>
      </c>
      <c r="I44" s="934" t="s">
        <v>576</v>
      </c>
      <c r="J44" s="930"/>
      <c r="K44" s="941"/>
      <c r="L44" s="941"/>
      <c r="M44" s="941"/>
      <c r="N44" s="941"/>
      <c r="O44" s="941"/>
      <c r="P44" s="941"/>
      <c r="Q44" s="941"/>
      <c r="R44" s="941"/>
      <c r="S44" s="941"/>
      <c r="T44" s="941"/>
      <c r="U44" s="941"/>
      <c r="V44" s="941"/>
      <c r="W44" s="941"/>
      <c r="X44" s="941"/>
      <c r="Y44" s="941"/>
      <c r="Z44" s="941"/>
      <c r="AA44" s="941"/>
      <c r="AB44" s="941"/>
      <c r="AC44" s="941"/>
      <c r="AD44" s="941"/>
      <c r="AE44" s="941"/>
      <c r="AF44" s="941"/>
      <c r="AG44" s="941"/>
      <c r="AH44" s="941"/>
      <c r="AI44" s="941"/>
      <c r="AJ44" s="941"/>
      <c r="AK44" s="941"/>
      <c r="AL44" s="941"/>
      <c r="AM44" s="941"/>
      <c r="AN44" s="941"/>
      <c r="AO44" s="941"/>
      <c r="AP44" s="941"/>
      <c r="AQ44" s="941"/>
      <c r="AR44" s="941"/>
      <c r="AS44" s="941"/>
      <c r="AT44" s="941"/>
      <c r="AU44" s="941"/>
      <c r="AV44" s="941"/>
      <c r="AW44" s="941"/>
      <c r="AX44" s="941"/>
      <c r="AY44" s="941"/>
      <c r="AZ44" s="941"/>
      <c r="BA44" s="941"/>
      <c r="BB44" s="941"/>
      <c r="BC44" s="941"/>
      <c r="BD44" s="941"/>
      <c r="BE44" s="941"/>
      <c r="BF44" s="941"/>
      <c r="BG44" s="941"/>
      <c r="BH44" s="941"/>
      <c r="BI44" s="941"/>
      <c r="BJ44" s="941"/>
      <c r="BK44" s="941"/>
      <c r="BL44" s="941"/>
      <c r="BM44" s="941"/>
      <c r="BN44" s="941"/>
      <c r="BO44" s="941"/>
      <c r="BP44" s="941"/>
      <c r="BQ44" s="941"/>
      <c r="BR44" s="941"/>
      <c r="BS44" s="941"/>
      <c r="BT44" s="941"/>
      <c r="BU44" s="941"/>
      <c r="BV44" s="941"/>
      <c r="BW44" s="941"/>
      <c r="BX44" s="941"/>
      <c r="BY44" s="941"/>
      <c r="BZ44" s="941"/>
      <c r="CA44" s="941"/>
      <c r="CB44" s="941"/>
      <c r="CC44" s="941"/>
      <c r="CD44" s="941"/>
      <c r="CE44" s="941"/>
      <c r="CF44" s="941"/>
      <c r="CG44" s="941"/>
      <c r="CH44" s="941"/>
      <c r="CI44" s="941"/>
      <c r="CJ44" s="941"/>
      <c r="CK44" s="941"/>
      <c r="CL44" s="941"/>
      <c r="CM44" s="941"/>
      <c r="CN44" s="941"/>
      <c r="CO44" s="941"/>
      <c r="CP44" s="941"/>
      <c r="CQ44" s="941"/>
      <c r="CR44" s="941"/>
      <c r="CS44" s="941"/>
      <c r="CT44" s="941"/>
      <c r="CU44" s="941"/>
      <c r="CV44" s="941"/>
      <c r="CW44" s="941"/>
      <c r="CX44" s="941"/>
      <c r="CY44" s="941"/>
      <c r="CZ44" s="941"/>
      <c r="DA44" s="941"/>
      <c r="DB44" s="941"/>
      <c r="DC44" s="941"/>
      <c r="DD44" s="941"/>
      <c r="DE44" s="941"/>
      <c r="DF44" s="941"/>
      <c r="DG44" s="941"/>
      <c r="DH44" s="941"/>
      <c r="DI44" s="941"/>
      <c r="DJ44" s="941"/>
      <c r="DK44" s="941"/>
      <c r="DL44" s="941"/>
      <c r="DM44" s="941"/>
      <c r="DN44" s="941"/>
      <c r="DO44" s="941"/>
      <c r="DP44" s="941"/>
      <c r="DQ44" s="941"/>
      <c r="DR44" s="941"/>
      <c r="DS44" s="941"/>
      <c r="DT44" s="941"/>
      <c r="DU44" s="941"/>
      <c r="DV44" s="941"/>
      <c r="DW44" s="941"/>
      <c r="DX44" s="941"/>
      <c r="DY44" s="941"/>
      <c r="DZ44" s="941"/>
      <c r="EA44" s="941"/>
      <c r="EB44" s="941"/>
      <c r="EC44" s="941"/>
      <c r="ED44" s="941"/>
      <c r="EE44" s="941"/>
      <c r="EF44" s="941"/>
      <c r="EG44" s="941"/>
      <c r="EH44" s="941"/>
      <c r="EI44" s="941"/>
      <c r="EJ44" s="941"/>
      <c r="EK44" s="941"/>
      <c r="EL44" s="941"/>
      <c r="EM44" s="941"/>
      <c r="EN44" s="941"/>
      <c r="EO44" s="941"/>
      <c r="EP44" s="941"/>
      <c r="EQ44" s="941"/>
      <c r="ER44" s="941"/>
      <c r="ES44" s="941"/>
      <c r="ET44" s="941"/>
      <c r="EU44" s="941"/>
      <c r="EV44" s="941"/>
      <c r="EW44" s="941"/>
      <c r="EX44" s="941"/>
      <c r="EY44" s="941"/>
      <c r="EZ44" s="941"/>
      <c r="FA44" s="941"/>
      <c r="FB44" s="941"/>
      <c r="FC44" s="941"/>
      <c r="FD44" s="941"/>
      <c r="FE44" s="941"/>
      <c r="FF44" s="941"/>
      <c r="FG44" s="941"/>
      <c r="FH44" s="941"/>
      <c r="FI44" s="941"/>
      <c r="FJ44" s="941"/>
      <c r="FK44" s="941"/>
      <c r="FL44" s="941"/>
      <c r="FM44" s="941"/>
      <c r="FN44" s="941"/>
      <c r="FO44" s="941"/>
      <c r="FP44" s="941"/>
      <c r="FQ44" s="941"/>
      <c r="FR44" s="941"/>
      <c r="FS44" s="941"/>
      <c r="FT44" s="941"/>
      <c r="FU44" s="941"/>
      <c r="FV44" s="941"/>
      <c r="FW44" s="941"/>
      <c r="FX44" s="941"/>
      <c r="FY44" s="941"/>
      <c r="FZ44" s="941"/>
      <c r="GA44" s="941"/>
      <c r="GB44" s="941"/>
      <c r="GC44" s="941"/>
      <c r="GD44" s="941"/>
      <c r="GE44" s="941"/>
      <c r="GF44" s="941"/>
      <c r="GG44" s="941"/>
      <c r="GH44" s="941"/>
      <c r="GI44" s="941"/>
      <c r="GJ44" s="941"/>
      <c r="GK44" s="941"/>
      <c r="GL44" s="941"/>
      <c r="GM44" s="941"/>
      <c r="GN44" s="941"/>
      <c r="GO44" s="941"/>
      <c r="GP44" s="941"/>
      <c r="GQ44" s="941"/>
      <c r="GR44" s="941"/>
      <c r="GS44" s="941"/>
      <c r="GT44" s="941"/>
      <c r="GU44" s="941"/>
      <c r="GV44" s="941"/>
      <c r="GW44" s="941"/>
      <c r="GX44" s="941"/>
      <c r="GY44" s="941"/>
      <c r="GZ44" s="941"/>
      <c r="HA44" s="941"/>
      <c r="HB44" s="941"/>
      <c r="HC44" s="941"/>
      <c r="HD44" s="941"/>
      <c r="HE44" s="941"/>
      <c r="HF44" s="941"/>
      <c r="HG44" s="941"/>
      <c r="HH44" s="941"/>
      <c r="HI44" s="941"/>
      <c r="HJ44" s="941"/>
      <c r="HK44" s="941"/>
      <c r="HL44" s="941"/>
      <c r="HM44" s="941"/>
      <c r="HN44" s="941"/>
      <c r="HO44" s="941"/>
      <c r="HP44" s="941"/>
      <c r="HQ44" s="941"/>
      <c r="HR44" s="941"/>
      <c r="HS44" s="941"/>
      <c r="HT44" s="941"/>
      <c r="HU44" s="941"/>
      <c r="HV44" s="941"/>
      <c r="HW44" s="941"/>
      <c r="HX44" s="941"/>
      <c r="HY44" s="941"/>
      <c r="HZ44" s="941"/>
      <c r="IA44" s="941"/>
      <c r="IB44" s="941"/>
      <c r="IC44" s="941"/>
      <c r="ID44" s="941"/>
      <c r="IE44" s="941"/>
      <c r="IF44" s="941"/>
      <c r="IG44" s="941"/>
      <c r="IH44" s="941"/>
      <c r="II44" s="941"/>
      <c r="IJ44" s="941"/>
      <c r="IK44" s="941"/>
      <c r="IL44" s="941"/>
      <c r="IM44" s="941"/>
      <c r="IN44" s="941"/>
      <c r="IO44" s="941"/>
      <c r="IP44" s="941"/>
      <c r="IQ44" s="941"/>
      <c r="IR44" s="941"/>
      <c r="IS44" s="941"/>
      <c r="IT44" s="941"/>
      <c r="IU44" s="941"/>
      <c r="IV44" s="941"/>
    </row>
    <row r="45" spans="1:256">
      <c r="A45" s="935">
        <f>+A41+1</f>
        <v>24</v>
      </c>
      <c r="B45" s="931" t="s">
        <v>566</v>
      </c>
      <c r="C45" s="942">
        <f>+H39</f>
        <v>0</v>
      </c>
      <c r="D45" s="942">
        <f>C45</f>
        <v>0</v>
      </c>
      <c r="E45" s="931"/>
      <c r="F45" s="869">
        <v>365</v>
      </c>
      <c r="G45" s="943">
        <f>F45/$F$18</f>
        <v>1</v>
      </c>
      <c r="H45" s="942">
        <f>C45*G45</f>
        <v>0</v>
      </c>
      <c r="I45" s="942">
        <f>H45</f>
        <v>0</v>
      </c>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c r="AI45" s="930"/>
      <c r="AJ45" s="930"/>
      <c r="AK45" s="930"/>
      <c r="AL45" s="930"/>
      <c r="AM45" s="930"/>
      <c r="AN45" s="930"/>
      <c r="AO45" s="930"/>
      <c r="AP45" s="930"/>
      <c r="AQ45" s="930"/>
      <c r="AR45" s="930"/>
      <c r="AS45" s="930"/>
      <c r="AT45" s="930"/>
      <c r="AU45" s="930"/>
      <c r="AV45" s="930"/>
      <c r="AW45" s="930"/>
      <c r="AX45" s="930"/>
      <c r="AY45" s="930"/>
      <c r="AZ45" s="930"/>
      <c r="BA45" s="930"/>
      <c r="BB45" s="930"/>
      <c r="BC45" s="930"/>
      <c r="BD45" s="930"/>
      <c r="BE45" s="930"/>
      <c r="BF45" s="930"/>
      <c r="BG45" s="930"/>
      <c r="BH45" s="930"/>
      <c r="BI45" s="930"/>
      <c r="BJ45" s="930"/>
      <c r="BK45" s="930"/>
      <c r="BL45" s="930"/>
      <c r="BM45" s="930"/>
      <c r="BN45" s="930"/>
      <c r="BO45" s="930"/>
      <c r="BP45" s="930"/>
      <c r="BQ45" s="930"/>
      <c r="BR45" s="930"/>
      <c r="BS45" s="930"/>
      <c r="BT45" s="930"/>
      <c r="BU45" s="930"/>
      <c r="BV45" s="930"/>
      <c r="BW45" s="930"/>
      <c r="BX45" s="930"/>
      <c r="BY45" s="930"/>
      <c r="BZ45" s="930"/>
      <c r="CA45" s="930"/>
      <c r="CB45" s="930"/>
      <c r="CC45" s="930"/>
      <c r="CD45" s="930"/>
      <c r="CE45" s="930"/>
      <c r="CF45" s="930"/>
      <c r="CG45" s="930"/>
      <c r="CH45" s="930"/>
      <c r="CI45" s="930"/>
      <c r="CJ45" s="930"/>
      <c r="CK45" s="930"/>
      <c r="CL45" s="930"/>
      <c r="CM45" s="930"/>
      <c r="CN45" s="930"/>
      <c r="CO45" s="930"/>
      <c r="CP45" s="930"/>
      <c r="CQ45" s="930"/>
      <c r="CR45" s="930"/>
      <c r="CS45" s="930"/>
      <c r="CT45" s="930"/>
      <c r="CU45" s="930"/>
      <c r="CV45" s="930"/>
      <c r="CW45" s="930"/>
      <c r="CX45" s="930"/>
      <c r="CY45" s="930"/>
      <c r="CZ45" s="930"/>
      <c r="DA45" s="930"/>
      <c r="DB45" s="930"/>
      <c r="DC45" s="930"/>
      <c r="DD45" s="930"/>
      <c r="DE45" s="930"/>
      <c r="DF45" s="930"/>
      <c r="DG45" s="930"/>
      <c r="DH45" s="930"/>
      <c r="DI45" s="930"/>
      <c r="DJ45" s="930"/>
      <c r="DK45" s="930"/>
      <c r="DL45" s="930"/>
      <c r="DM45" s="930"/>
      <c r="DN45" s="930"/>
      <c r="DO45" s="930"/>
      <c r="DP45" s="930"/>
      <c r="DQ45" s="930"/>
      <c r="DR45" s="930"/>
      <c r="DS45" s="930"/>
      <c r="DT45" s="930"/>
      <c r="DU45" s="930"/>
      <c r="DV45" s="930"/>
      <c r="DW45" s="930"/>
      <c r="DX45" s="930"/>
      <c r="DY45" s="930"/>
      <c r="DZ45" s="930"/>
      <c r="EA45" s="930"/>
      <c r="EB45" s="930"/>
      <c r="EC45" s="930"/>
      <c r="ED45" s="930"/>
      <c r="EE45" s="930"/>
      <c r="EF45" s="930"/>
      <c r="EG45" s="930"/>
      <c r="EH45" s="930"/>
      <c r="EI45" s="930"/>
      <c r="EJ45" s="930"/>
      <c r="EK45" s="930"/>
      <c r="EL45" s="930"/>
      <c r="EM45" s="930"/>
      <c r="EN45" s="930"/>
      <c r="EO45" s="930"/>
      <c r="EP45" s="930"/>
      <c r="EQ45" s="930"/>
      <c r="ER45" s="930"/>
      <c r="ES45" s="930"/>
      <c r="ET45" s="930"/>
      <c r="EU45" s="930"/>
      <c r="EV45" s="930"/>
      <c r="EW45" s="930"/>
      <c r="EX45" s="930"/>
      <c r="EY45" s="930"/>
      <c r="EZ45" s="930"/>
      <c r="FA45" s="930"/>
      <c r="FB45" s="930"/>
      <c r="FC45" s="930"/>
      <c r="FD45" s="930"/>
      <c r="FE45" s="930"/>
      <c r="FF45" s="930"/>
      <c r="FG45" s="930"/>
      <c r="FH45" s="930"/>
      <c r="FI45" s="930"/>
      <c r="FJ45" s="930"/>
      <c r="FK45" s="930"/>
      <c r="FL45" s="930"/>
      <c r="FM45" s="930"/>
      <c r="FN45" s="930"/>
      <c r="FO45" s="930"/>
      <c r="FP45" s="930"/>
      <c r="FQ45" s="930"/>
      <c r="FR45" s="930"/>
      <c r="FS45" s="930"/>
      <c r="FT45" s="930"/>
      <c r="FU45" s="930"/>
      <c r="FV45" s="930"/>
      <c r="FW45" s="930"/>
      <c r="FX45" s="930"/>
      <c r="FY45" s="930"/>
      <c r="FZ45" s="930"/>
      <c r="GA45" s="930"/>
      <c r="GB45" s="930"/>
      <c r="GC45" s="930"/>
      <c r="GD45" s="930"/>
      <c r="GE45" s="930"/>
      <c r="GF45" s="930"/>
      <c r="GG45" s="930"/>
      <c r="GH45" s="930"/>
      <c r="GI45" s="930"/>
      <c r="GJ45" s="930"/>
      <c r="GK45" s="930"/>
      <c r="GL45" s="930"/>
      <c r="GM45" s="930"/>
      <c r="GN45" s="930"/>
      <c r="GO45" s="930"/>
      <c r="GP45" s="930"/>
      <c r="GQ45" s="930"/>
      <c r="GR45" s="930"/>
      <c r="GS45" s="930"/>
      <c r="GT45" s="930"/>
      <c r="GU45" s="930"/>
      <c r="GV45" s="930"/>
      <c r="GW45" s="930"/>
      <c r="GX45" s="930"/>
      <c r="GY45" s="930"/>
      <c r="GZ45" s="930"/>
      <c r="HA45" s="930"/>
      <c r="HB45" s="930"/>
      <c r="HC45" s="930"/>
      <c r="HD45" s="930"/>
      <c r="HE45" s="930"/>
      <c r="HF45" s="930"/>
      <c r="HG45" s="930"/>
      <c r="HH45" s="930"/>
      <c r="HI45" s="930"/>
      <c r="HJ45" s="930"/>
      <c r="HK45" s="930"/>
      <c r="HL45" s="930"/>
      <c r="HM45" s="930"/>
      <c r="HN45" s="930"/>
      <c r="HO45" s="930"/>
      <c r="HP45" s="930"/>
      <c r="HQ45" s="930"/>
      <c r="HR45" s="930"/>
      <c r="HS45" s="930"/>
      <c r="HT45" s="930"/>
      <c r="HU45" s="930"/>
      <c r="HV45" s="930"/>
      <c r="HW45" s="930"/>
      <c r="HX45" s="930"/>
      <c r="HY45" s="930"/>
      <c r="HZ45" s="930"/>
      <c r="IA45" s="930"/>
      <c r="IB45" s="930"/>
      <c r="IC45" s="930"/>
      <c r="ID45" s="930"/>
      <c r="IE45" s="930"/>
      <c r="IF45" s="930"/>
      <c r="IG45" s="930"/>
      <c r="IH45" s="930"/>
      <c r="II45" s="930"/>
      <c r="IJ45" s="930"/>
      <c r="IK45" s="930"/>
      <c r="IL45" s="930"/>
      <c r="IM45" s="930"/>
      <c r="IN45" s="930"/>
      <c r="IO45" s="930"/>
      <c r="IP45" s="930"/>
      <c r="IQ45" s="930"/>
      <c r="IR45" s="930"/>
      <c r="IS45" s="930"/>
      <c r="IT45" s="930"/>
      <c r="IU45" s="930"/>
      <c r="IV45" s="930"/>
    </row>
    <row r="46" spans="1:256">
      <c r="A46" s="935">
        <f>+A45+1</f>
        <v>25</v>
      </c>
      <c r="B46" s="931" t="s">
        <v>567</v>
      </c>
      <c r="C46" s="942">
        <f>+$H$41</f>
        <v>0</v>
      </c>
      <c r="D46" s="942">
        <f>D45+C46</f>
        <v>0</v>
      </c>
      <c r="E46" s="931">
        <v>31</v>
      </c>
      <c r="F46" s="869">
        <v>335</v>
      </c>
      <c r="G46" s="943">
        <f t="shared" ref="G46:G57" si="6">F46/$F$18</f>
        <v>0.9178082191780822</v>
      </c>
      <c r="H46" s="942">
        <f t="shared" ref="H46:H57" si="7">C46*G46</f>
        <v>0</v>
      </c>
      <c r="I46" s="942">
        <f t="shared" ref="I46:I51" si="8">I45+H46</f>
        <v>0</v>
      </c>
      <c r="J46" s="930"/>
      <c r="K46" s="930"/>
      <c r="L46" s="930"/>
      <c r="M46" s="930"/>
      <c r="N46" s="930"/>
      <c r="O46" s="930"/>
      <c r="P46" s="930"/>
      <c r="Q46" s="930"/>
      <c r="R46" s="930"/>
      <c r="S46" s="930"/>
      <c r="T46" s="930"/>
      <c r="U46" s="930"/>
      <c r="V46" s="930"/>
      <c r="W46" s="930"/>
      <c r="X46" s="930"/>
      <c r="Y46" s="930"/>
      <c r="Z46" s="930"/>
      <c r="AA46" s="930"/>
      <c r="AB46" s="930"/>
      <c r="AC46" s="930"/>
      <c r="AD46" s="930"/>
      <c r="AE46" s="930"/>
      <c r="AF46" s="930"/>
      <c r="AG46" s="930"/>
      <c r="AH46" s="930"/>
      <c r="AI46" s="930"/>
      <c r="AJ46" s="930"/>
      <c r="AK46" s="930"/>
      <c r="AL46" s="930"/>
      <c r="AM46" s="930"/>
      <c r="AN46" s="930"/>
      <c r="AO46" s="930"/>
      <c r="AP46" s="930"/>
      <c r="AQ46" s="930"/>
      <c r="AR46" s="930"/>
      <c r="AS46" s="930"/>
      <c r="AT46" s="930"/>
      <c r="AU46" s="930"/>
      <c r="AV46" s="930"/>
      <c r="AW46" s="930"/>
      <c r="AX46" s="930"/>
      <c r="AY46" s="930"/>
      <c r="AZ46" s="930"/>
      <c r="BA46" s="930"/>
      <c r="BB46" s="930"/>
      <c r="BC46" s="930"/>
      <c r="BD46" s="930"/>
      <c r="BE46" s="930"/>
      <c r="BF46" s="930"/>
      <c r="BG46" s="930"/>
      <c r="BH46" s="930"/>
      <c r="BI46" s="930"/>
      <c r="BJ46" s="930"/>
      <c r="BK46" s="930"/>
      <c r="BL46" s="930"/>
      <c r="BM46" s="930"/>
      <c r="BN46" s="930"/>
      <c r="BO46" s="930"/>
      <c r="BP46" s="930"/>
      <c r="BQ46" s="930"/>
      <c r="BR46" s="930"/>
      <c r="BS46" s="930"/>
      <c r="BT46" s="930"/>
      <c r="BU46" s="930"/>
      <c r="BV46" s="930"/>
      <c r="BW46" s="930"/>
      <c r="BX46" s="930"/>
      <c r="BY46" s="930"/>
      <c r="BZ46" s="930"/>
      <c r="CA46" s="930"/>
      <c r="CB46" s="930"/>
      <c r="CC46" s="930"/>
      <c r="CD46" s="930"/>
      <c r="CE46" s="930"/>
      <c r="CF46" s="930"/>
      <c r="CG46" s="930"/>
      <c r="CH46" s="930"/>
      <c r="CI46" s="930"/>
      <c r="CJ46" s="930"/>
      <c r="CK46" s="930"/>
      <c r="CL46" s="930"/>
      <c r="CM46" s="930"/>
      <c r="CN46" s="930"/>
      <c r="CO46" s="930"/>
      <c r="CP46" s="930"/>
      <c r="CQ46" s="930"/>
      <c r="CR46" s="930"/>
      <c r="CS46" s="930"/>
      <c r="CT46" s="930"/>
      <c r="CU46" s="930"/>
      <c r="CV46" s="930"/>
      <c r="CW46" s="930"/>
      <c r="CX46" s="930"/>
      <c r="CY46" s="930"/>
      <c r="CZ46" s="930"/>
      <c r="DA46" s="930"/>
      <c r="DB46" s="930"/>
      <c r="DC46" s="930"/>
      <c r="DD46" s="930"/>
      <c r="DE46" s="930"/>
      <c r="DF46" s="930"/>
      <c r="DG46" s="930"/>
      <c r="DH46" s="930"/>
      <c r="DI46" s="930"/>
      <c r="DJ46" s="930"/>
      <c r="DK46" s="930"/>
      <c r="DL46" s="930"/>
      <c r="DM46" s="930"/>
      <c r="DN46" s="930"/>
      <c r="DO46" s="930"/>
      <c r="DP46" s="930"/>
      <c r="DQ46" s="930"/>
      <c r="DR46" s="930"/>
      <c r="DS46" s="930"/>
      <c r="DT46" s="930"/>
      <c r="DU46" s="930"/>
      <c r="DV46" s="930"/>
      <c r="DW46" s="930"/>
      <c r="DX46" s="930"/>
      <c r="DY46" s="930"/>
      <c r="DZ46" s="930"/>
      <c r="EA46" s="930"/>
      <c r="EB46" s="930"/>
      <c r="EC46" s="930"/>
      <c r="ED46" s="930"/>
      <c r="EE46" s="930"/>
      <c r="EF46" s="930"/>
      <c r="EG46" s="930"/>
      <c r="EH46" s="930"/>
      <c r="EI46" s="930"/>
      <c r="EJ46" s="930"/>
      <c r="EK46" s="930"/>
      <c r="EL46" s="930"/>
      <c r="EM46" s="930"/>
      <c r="EN46" s="930"/>
      <c r="EO46" s="930"/>
      <c r="EP46" s="930"/>
      <c r="EQ46" s="930"/>
      <c r="ER46" s="930"/>
      <c r="ES46" s="930"/>
      <c r="ET46" s="930"/>
      <c r="EU46" s="930"/>
      <c r="EV46" s="930"/>
      <c r="EW46" s="930"/>
      <c r="EX46" s="930"/>
      <c r="EY46" s="930"/>
      <c r="EZ46" s="930"/>
      <c r="FA46" s="930"/>
      <c r="FB46" s="930"/>
      <c r="FC46" s="930"/>
      <c r="FD46" s="930"/>
      <c r="FE46" s="930"/>
      <c r="FF46" s="930"/>
      <c r="FG46" s="930"/>
      <c r="FH46" s="930"/>
      <c r="FI46" s="930"/>
      <c r="FJ46" s="930"/>
      <c r="FK46" s="930"/>
      <c r="FL46" s="930"/>
      <c r="FM46" s="930"/>
      <c r="FN46" s="930"/>
      <c r="FO46" s="930"/>
      <c r="FP46" s="930"/>
      <c r="FQ46" s="930"/>
      <c r="FR46" s="930"/>
      <c r="FS46" s="930"/>
      <c r="FT46" s="930"/>
      <c r="FU46" s="930"/>
      <c r="FV46" s="930"/>
      <c r="FW46" s="930"/>
      <c r="FX46" s="930"/>
      <c r="FY46" s="930"/>
      <c r="FZ46" s="930"/>
      <c r="GA46" s="930"/>
      <c r="GB46" s="930"/>
      <c r="GC46" s="930"/>
      <c r="GD46" s="930"/>
      <c r="GE46" s="930"/>
      <c r="GF46" s="930"/>
      <c r="GG46" s="930"/>
      <c r="GH46" s="930"/>
      <c r="GI46" s="930"/>
      <c r="GJ46" s="930"/>
      <c r="GK46" s="930"/>
      <c r="GL46" s="930"/>
      <c r="GM46" s="930"/>
      <c r="GN46" s="930"/>
      <c r="GO46" s="930"/>
      <c r="GP46" s="930"/>
      <c r="GQ46" s="930"/>
      <c r="GR46" s="930"/>
      <c r="GS46" s="930"/>
      <c r="GT46" s="930"/>
      <c r="GU46" s="930"/>
      <c r="GV46" s="930"/>
      <c r="GW46" s="930"/>
      <c r="GX46" s="930"/>
      <c r="GY46" s="930"/>
      <c r="GZ46" s="930"/>
      <c r="HA46" s="930"/>
      <c r="HB46" s="930"/>
      <c r="HC46" s="930"/>
      <c r="HD46" s="930"/>
      <c r="HE46" s="930"/>
      <c r="HF46" s="930"/>
      <c r="HG46" s="930"/>
      <c r="HH46" s="930"/>
      <c r="HI46" s="930"/>
      <c r="HJ46" s="930"/>
      <c r="HK46" s="930"/>
      <c r="HL46" s="930"/>
      <c r="HM46" s="930"/>
      <c r="HN46" s="930"/>
      <c r="HO46" s="930"/>
      <c r="HP46" s="930"/>
      <c r="HQ46" s="930"/>
      <c r="HR46" s="930"/>
      <c r="HS46" s="930"/>
      <c r="HT46" s="930"/>
      <c r="HU46" s="930"/>
      <c r="HV46" s="930"/>
      <c r="HW46" s="930"/>
      <c r="HX46" s="930"/>
      <c r="HY46" s="930"/>
      <c r="HZ46" s="930"/>
      <c r="IA46" s="930"/>
      <c r="IB46" s="930"/>
      <c r="IC46" s="930"/>
      <c r="ID46" s="930"/>
      <c r="IE46" s="930"/>
      <c r="IF46" s="930"/>
      <c r="IG46" s="930"/>
      <c r="IH46" s="930"/>
      <c r="II46" s="930"/>
      <c r="IJ46" s="930"/>
      <c r="IK46" s="930"/>
      <c r="IL46" s="930"/>
      <c r="IM46" s="930"/>
      <c r="IN46" s="930"/>
      <c r="IO46" s="930"/>
      <c r="IP46" s="930"/>
      <c r="IQ46" s="930"/>
      <c r="IR46" s="930"/>
      <c r="IS46" s="930"/>
      <c r="IT46" s="930"/>
      <c r="IU46" s="930"/>
      <c r="IV46" s="930"/>
    </row>
    <row r="47" spans="1:256">
      <c r="A47" s="935">
        <f t="shared" ref="A47:A57" si="9">+A46+1</f>
        <v>26</v>
      </c>
      <c r="B47" s="931" t="s">
        <v>568</v>
      </c>
      <c r="C47" s="942">
        <f t="shared" ref="C47:C57" si="10">+$H$41</f>
        <v>0</v>
      </c>
      <c r="D47" s="942">
        <f>D46+C47</f>
        <v>0</v>
      </c>
      <c r="E47" s="869">
        <v>28</v>
      </c>
      <c r="F47" s="869">
        <v>307</v>
      </c>
      <c r="G47" s="943">
        <f t="shared" si="6"/>
        <v>0.84109589041095889</v>
      </c>
      <c r="H47" s="942">
        <f t="shared" si="7"/>
        <v>0</v>
      </c>
      <c r="I47" s="942">
        <f t="shared" si="8"/>
        <v>0</v>
      </c>
      <c r="J47" s="930"/>
      <c r="K47" s="930"/>
      <c r="L47" s="930"/>
      <c r="M47" s="930"/>
      <c r="N47" s="930"/>
      <c r="O47" s="930"/>
      <c r="P47" s="930"/>
      <c r="Q47" s="930"/>
      <c r="R47" s="930"/>
      <c r="S47" s="930"/>
      <c r="T47" s="930"/>
      <c r="U47" s="930"/>
      <c r="V47" s="930"/>
      <c r="W47" s="930"/>
      <c r="X47" s="930"/>
      <c r="Y47" s="930"/>
      <c r="Z47" s="930"/>
      <c r="AA47" s="930"/>
      <c r="AB47" s="930"/>
      <c r="AC47" s="930"/>
      <c r="AD47" s="930"/>
      <c r="AE47" s="930"/>
      <c r="AF47" s="930"/>
      <c r="AG47" s="930"/>
      <c r="AH47" s="930"/>
      <c r="AI47" s="930"/>
      <c r="AJ47" s="930"/>
      <c r="AK47" s="930"/>
      <c r="AL47" s="930"/>
      <c r="AM47" s="930"/>
      <c r="AN47" s="930"/>
      <c r="AO47" s="930"/>
      <c r="AP47" s="930"/>
      <c r="AQ47" s="930"/>
      <c r="AR47" s="930"/>
      <c r="AS47" s="930"/>
      <c r="AT47" s="930"/>
      <c r="AU47" s="930"/>
      <c r="AV47" s="930"/>
      <c r="AW47" s="930"/>
      <c r="AX47" s="930"/>
      <c r="AY47" s="930"/>
      <c r="AZ47" s="930"/>
      <c r="BA47" s="930"/>
      <c r="BB47" s="930"/>
      <c r="BC47" s="930"/>
      <c r="BD47" s="930"/>
      <c r="BE47" s="930"/>
      <c r="BF47" s="930"/>
      <c r="BG47" s="930"/>
      <c r="BH47" s="930"/>
      <c r="BI47" s="930"/>
      <c r="BJ47" s="930"/>
      <c r="BK47" s="930"/>
      <c r="BL47" s="930"/>
      <c r="BM47" s="930"/>
      <c r="BN47" s="930"/>
      <c r="BO47" s="930"/>
      <c r="BP47" s="930"/>
      <c r="BQ47" s="930"/>
      <c r="BR47" s="930"/>
      <c r="BS47" s="930"/>
      <c r="BT47" s="930"/>
      <c r="BU47" s="930"/>
      <c r="BV47" s="930"/>
      <c r="BW47" s="930"/>
      <c r="BX47" s="930"/>
      <c r="BY47" s="930"/>
      <c r="BZ47" s="930"/>
      <c r="CA47" s="930"/>
      <c r="CB47" s="930"/>
      <c r="CC47" s="930"/>
      <c r="CD47" s="930"/>
      <c r="CE47" s="930"/>
      <c r="CF47" s="930"/>
      <c r="CG47" s="930"/>
      <c r="CH47" s="930"/>
      <c r="CI47" s="930"/>
      <c r="CJ47" s="930"/>
      <c r="CK47" s="930"/>
      <c r="CL47" s="930"/>
      <c r="CM47" s="930"/>
      <c r="CN47" s="930"/>
      <c r="CO47" s="930"/>
      <c r="CP47" s="930"/>
      <c r="CQ47" s="930"/>
      <c r="CR47" s="930"/>
      <c r="CS47" s="930"/>
      <c r="CT47" s="930"/>
      <c r="CU47" s="930"/>
      <c r="CV47" s="930"/>
      <c r="CW47" s="930"/>
      <c r="CX47" s="930"/>
      <c r="CY47" s="930"/>
      <c r="CZ47" s="930"/>
      <c r="DA47" s="930"/>
      <c r="DB47" s="930"/>
      <c r="DC47" s="930"/>
      <c r="DD47" s="930"/>
      <c r="DE47" s="930"/>
      <c r="DF47" s="930"/>
      <c r="DG47" s="930"/>
      <c r="DH47" s="930"/>
      <c r="DI47" s="930"/>
      <c r="DJ47" s="930"/>
      <c r="DK47" s="930"/>
      <c r="DL47" s="930"/>
      <c r="DM47" s="930"/>
      <c r="DN47" s="930"/>
      <c r="DO47" s="930"/>
      <c r="DP47" s="930"/>
      <c r="DQ47" s="930"/>
      <c r="DR47" s="930"/>
      <c r="DS47" s="930"/>
      <c r="DT47" s="930"/>
      <c r="DU47" s="930"/>
      <c r="DV47" s="930"/>
      <c r="DW47" s="930"/>
      <c r="DX47" s="930"/>
      <c r="DY47" s="930"/>
      <c r="DZ47" s="930"/>
      <c r="EA47" s="930"/>
      <c r="EB47" s="930"/>
      <c r="EC47" s="930"/>
      <c r="ED47" s="930"/>
      <c r="EE47" s="930"/>
      <c r="EF47" s="930"/>
      <c r="EG47" s="930"/>
      <c r="EH47" s="930"/>
      <c r="EI47" s="930"/>
      <c r="EJ47" s="930"/>
      <c r="EK47" s="930"/>
      <c r="EL47" s="930"/>
      <c r="EM47" s="930"/>
      <c r="EN47" s="930"/>
      <c r="EO47" s="930"/>
      <c r="EP47" s="930"/>
      <c r="EQ47" s="930"/>
      <c r="ER47" s="930"/>
      <c r="ES47" s="930"/>
      <c r="ET47" s="930"/>
      <c r="EU47" s="930"/>
      <c r="EV47" s="930"/>
      <c r="EW47" s="930"/>
      <c r="EX47" s="930"/>
      <c r="EY47" s="930"/>
      <c r="EZ47" s="930"/>
      <c r="FA47" s="930"/>
      <c r="FB47" s="930"/>
      <c r="FC47" s="930"/>
      <c r="FD47" s="930"/>
      <c r="FE47" s="930"/>
      <c r="FF47" s="930"/>
      <c r="FG47" s="930"/>
      <c r="FH47" s="930"/>
      <c r="FI47" s="930"/>
      <c r="FJ47" s="930"/>
      <c r="FK47" s="930"/>
      <c r="FL47" s="930"/>
      <c r="FM47" s="930"/>
      <c r="FN47" s="930"/>
      <c r="FO47" s="930"/>
      <c r="FP47" s="930"/>
      <c r="FQ47" s="930"/>
      <c r="FR47" s="930"/>
      <c r="FS47" s="930"/>
      <c r="FT47" s="930"/>
      <c r="FU47" s="930"/>
      <c r="FV47" s="930"/>
      <c r="FW47" s="930"/>
      <c r="FX47" s="930"/>
      <c r="FY47" s="930"/>
      <c r="FZ47" s="930"/>
      <c r="GA47" s="930"/>
      <c r="GB47" s="930"/>
      <c r="GC47" s="930"/>
      <c r="GD47" s="930"/>
      <c r="GE47" s="930"/>
      <c r="GF47" s="930"/>
      <c r="GG47" s="930"/>
      <c r="GH47" s="930"/>
      <c r="GI47" s="930"/>
      <c r="GJ47" s="930"/>
      <c r="GK47" s="930"/>
      <c r="GL47" s="930"/>
      <c r="GM47" s="930"/>
      <c r="GN47" s="930"/>
      <c r="GO47" s="930"/>
      <c r="GP47" s="930"/>
      <c r="GQ47" s="930"/>
      <c r="GR47" s="930"/>
      <c r="GS47" s="930"/>
      <c r="GT47" s="930"/>
      <c r="GU47" s="930"/>
      <c r="GV47" s="930"/>
      <c r="GW47" s="930"/>
      <c r="GX47" s="930"/>
      <c r="GY47" s="930"/>
      <c r="GZ47" s="930"/>
      <c r="HA47" s="930"/>
      <c r="HB47" s="930"/>
      <c r="HC47" s="930"/>
      <c r="HD47" s="930"/>
      <c r="HE47" s="930"/>
      <c r="HF47" s="930"/>
      <c r="HG47" s="930"/>
      <c r="HH47" s="930"/>
      <c r="HI47" s="930"/>
      <c r="HJ47" s="930"/>
      <c r="HK47" s="930"/>
      <c r="HL47" s="930"/>
      <c r="HM47" s="930"/>
      <c r="HN47" s="930"/>
      <c r="HO47" s="930"/>
      <c r="HP47" s="930"/>
      <c r="HQ47" s="930"/>
      <c r="HR47" s="930"/>
      <c r="HS47" s="930"/>
      <c r="HT47" s="930"/>
      <c r="HU47" s="930"/>
      <c r="HV47" s="930"/>
      <c r="HW47" s="930"/>
      <c r="HX47" s="930"/>
      <c r="HY47" s="930"/>
      <c r="HZ47" s="930"/>
      <c r="IA47" s="930"/>
      <c r="IB47" s="930"/>
      <c r="IC47" s="930"/>
      <c r="ID47" s="930"/>
      <c r="IE47" s="930"/>
      <c r="IF47" s="930"/>
      <c r="IG47" s="930"/>
      <c r="IH47" s="930"/>
      <c r="II47" s="930"/>
      <c r="IJ47" s="930"/>
      <c r="IK47" s="930"/>
      <c r="IL47" s="930"/>
      <c r="IM47" s="930"/>
      <c r="IN47" s="930"/>
      <c r="IO47" s="930"/>
      <c r="IP47" s="930"/>
      <c r="IQ47" s="930"/>
      <c r="IR47" s="930"/>
      <c r="IS47" s="930"/>
      <c r="IT47" s="930"/>
      <c r="IU47" s="930"/>
      <c r="IV47" s="930"/>
    </row>
    <row r="48" spans="1:256">
      <c r="A48" s="935">
        <f t="shared" si="9"/>
        <v>27</v>
      </c>
      <c r="B48" s="931" t="s">
        <v>360</v>
      </c>
      <c r="C48" s="942">
        <f t="shared" si="10"/>
        <v>0</v>
      </c>
      <c r="D48" s="942">
        <f>D47+C48</f>
        <v>0</v>
      </c>
      <c r="E48" s="931">
        <v>31</v>
      </c>
      <c r="F48" s="869">
        <v>276</v>
      </c>
      <c r="G48" s="943">
        <f t="shared" si="6"/>
        <v>0.75616438356164384</v>
      </c>
      <c r="H48" s="942">
        <f t="shared" si="7"/>
        <v>0</v>
      </c>
      <c r="I48" s="942">
        <f t="shared" si="8"/>
        <v>0</v>
      </c>
      <c r="J48" s="930"/>
      <c r="K48" s="930"/>
      <c r="L48" s="930"/>
      <c r="M48" s="930"/>
      <c r="N48" s="930"/>
      <c r="O48" s="930"/>
      <c r="P48" s="930"/>
      <c r="Q48" s="930"/>
      <c r="R48" s="930"/>
      <c r="S48" s="930"/>
      <c r="T48" s="930"/>
      <c r="U48" s="930"/>
      <c r="V48" s="930"/>
      <c r="W48" s="930"/>
      <c r="X48" s="930"/>
      <c r="Y48" s="930"/>
      <c r="Z48" s="930"/>
      <c r="AA48" s="930"/>
      <c r="AB48" s="930"/>
      <c r="AC48" s="930"/>
      <c r="AD48" s="930"/>
      <c r="AE48" s="930"/>
      <c r="AF48" s="930"/>
      <c r="AG48" s="930"/>
      <c r="AH48" s="930"/>
      <c r="AI48" s="930"/>
      <c r="AJ48" s="930"/>
      <c r="AK48" s="930"/>
      <c r="AL48" s="930"/>
      <c r="AM48" s="930"/>
      <c r="AN48" s="930"/>
      <c r="AO48" s="930"/>
      <c r="AP48" s="930"/>
      <c r="AQ48" s="930"/>
      <c r="AR48" s="930"/>
      <c r="AS48" s="930"/>
      <c r="AT48" s="930"/>
      <c r="AU48" s="930"/>
      <c r="AV48" s="930"/>
      <c r="AW48" s="930"/>
      <c r="AX48" s="930"/>
      <c r="AY48" s="930"/>
      <c r="AZ48" s="930"/>
      <c r="BA48" s="930"/>
      <c r="BB48" s="930"/>
      <c r="BC48" s="930"/>
      <c r="BD48" s="930"/>
      <c r="BE48" s="930"/>
      <c r="BF48" s="930"/>
      <c r="BG48" s="930"/>
      <c r="BH48" s="930"/>
      <c r="BI48" s="930"/>
      <c r="BJ48" s="930"/>
      <c r="BK48" s="930"/>
      <c r="BL48" s="930"/>
      <c r="BM48" s="930"/>
      <c r="BN48" s="930"/>
      <c r="BO48" s="930"/>
      <c r="BP48" s="930"/>
      <c r="BQ48" s="930"/>
      <c r="BR48" s="930"/>
      <c r="BS48" s="930"/>
      <c r="BT48" s="930"/>
      <c r="BU48" s="930"/>
      <c r="BV48" s="930"/>
      <c r="BW48" s="930"/>
      <c r="BX48" s="930"/>
      <c r="BY48" s="930"/>
      <c r="BZ48" s="930"/>
      <c r="CA48" s="930"/>
      <c r="CB48" s="930"/>
      <c r="CC48" s="930"/>
      <c r="CD48" s="930"/>
      <c r="CE48" s="930"/>
      <c r="CF48" s="930"/>
      <c r="CG48" s="930"/>
      <c r="CH48" s="930"/>
      <c r="CI48" s="930"/>
      <c r="CJ48" s="930"/>
      <c r="CK48" s="930"/>
      <c r="CL48" s="930"/>
      <c r="CM48" s="930"/>
      <c r="CN48" s="930"/>
      <c r="CO48" s="930"/>
      <c r="CP48" s="930"/>
      <c r="CQ48" s="930"/>
      <c r="CR48" s="930"/>
      <c r="CS48" s="930"/>
      <c r="CT48" s="930"/>
      <c r="CU48" s="930"/>
      <c r="CV48" s="930"/>
      <c r="CW48" s="930"/>
      <c r="CX48" s="930"/>
      <c r="CY48" s="930"/>
      <c r="CZ48" s="930"/>
      <c r="DA48" s="930"/>
      <c r="DB48" s="930"/>
      <c r="DC48" s="930"/>
      <c r="DD48" s="930"/>
      <c r="DE48" s="930"/>
      <c r="DF48" s="930"/>
      <c r="DG48" s="930"/>
      <c r="DH48" s="930"/>
      <c r="DI48" s="930"/>
      <c r="DJ48" s="930"/>
      <c r="DK48" s="930"/>
      <c r="DL48" s="930"/>
      <c r="DM48" s="930"/>
      <c r="DN48" s="930"/>
      <c r="DO48" s="930"/>
      <c r="DP48" s="930"/>
      <c r="DQ48" s="930"/>
      <c r="DR48" s="930"/>
      <c r="DS48" s="930"/>
      <c r="DT48" s="930"/>
      <c r="DU48" s="930"/>
      <c r="DV48" s="930"/>
      <c r="DW48" s="930"/>
      <c r="DX48" s="930"/>
      <c r="DY48" s="930"/>
      <c r="DZ48" s="930"/>
      <c r="EA48" s="930"/>
      <c r="EB48" s="930"/>
      <c r="EC48" s="930"/>
      <c r="ED48" s="930"/>
      <c r="EE48" s="930"/>
      <c r="EF48" s="930"/>
      <c r="EG48" s="930"/>
      <c r="EH48" s="930"/>
      <c r="EI48" s="930"/>
      <c r="EJ48" s="930"/>
      <c r="EK48" s="930"/>
      <c r="EL48" s="930"/>
      <c r="EM48" s="930"/>
      <c r="EN48" s="930"/>
      <c r="EO48" s="930"/>
      <c r="EP48" s="930"/>
      <c r="EQ48" s="930"/>
      <c r="ER48" s="930"/>
      <c r="ES48" s="930"/>
      <c r="ET48" s="930"/>
      <c r="EU48" s="930"/>
      <c r="EV48" s="930"/>
      <c r="EW48" s="930"/>
      <c r="EX48" s="930"/>
      <c r="EY48" s="930"/>
      <c r="EZ48" s="930"/>
      <c r="FA48" s="930"/>
      <c r="FB48" s="930"/>
      <c r="FC48" s="930"/>
      <c r="FD48" s="930"/>
      <c r="FE48" s="930"/>
      <c r="FF48" s="930"/>
      <c r="FG48" s="930"/>
      <c r="FH48" s="930"/>
      <c r="FI48" s="930"/>
      <c r="FJ48" s="930"/>
      <c r="FK48" s="930"/>
      <c r="FL48" s="930"/>
      <c r="FM48" s="930"/>
      <c r="FN48" s="930"/>
      <c r="FO48" s="930"/>
      <c r="FP48" s="930"/>
      <c r="FQ48" s="930"/>
      <c r="FR48" s="930"/>
      <c r="FS48" s="930"/>
      <c r="FT48" s="930"/>
      <c r="FU48" s="930"/>
      <c r="FV48" s="930"/>
      <c r="FW48" s="930"/>
      <c r="FX48" s="930"/>
      <c r="FY48" s="930"/>
      <c r="FZ48" s="930"/>
      <c r="GA48" s="930"/>
      <c r="GB48" s="930"/>
      <c r="GC48" s="930"/>
      <c r="GD48" s="930"/>
      <c r="GE48" s="930"/>
      <c r="GF48" s="930"/>
      <c r="GG48" s="930"/>
      <c r="GH48" s="930"/>
      <c r="GI48" s="930"/>
      <c r="GJ48" s="930"/>
      <c r="GK48" s="930"/>
      <c r="GL48" s="930"/>
      <c r="GM48" s="930"/>
      <c r="GN48" s="930"/>
      <c r="GO48" s="930"/>
      <c r="GP48" s="930"/>
      <c r="GQ48" s="930"/>
      <c r="GR48" s="930"/>
      <c r="GS48" s="930"/>
      <c r="GT48" s="930"/>
      <c r="GU48" s="930"/>
      <c r="GV48" s="930"/>
      <c r="GW48" s="930"/>
      <c r="GX48" s="930"/>
      <c r="GY48" s="930"/>
      <c r="GZ48" s="930"/>
      <c r="HA48" s="930"/>
      <c r="HB48" s="930"/>
      <c r="HC48" s="930"/>
      <c r="HD48" s="930"/>
      <c r="HE48" s="930"/>
      <c r="HF48" s="930"/>
      <c r="HG48" s="930"/>
      <c r="HH48" s="930"/>
      <c r="HI48" s="930"/>
      <c r="HJ48" s="930"/>
      <c r="HK48" s="930"/>
      <c r="HL48" s="930"/>
      <c r="HM48" s="930"/>
      <c r="HN48" s="930"/>
      <c r="HO48" s="930"/>
      <c r="HP48" s="930"/>
      <c r="HQ48" s="930"/>
      <c r="HR48" s="930"/>
      <c r="HS48" s="930"/>
      <c r="HT48" s="930"/>
      <c r="HU48" s="930"/>
      <c r="HV48" s="930"/>
      <c r="HW48" s="930"/>
      <c r="HX48" s="930"/>
      <c r="HY48" s="930"/>
      <c r="HZ48" s="930"/>
      <c r="IA48" s="930"/>
      <c r="IB48" s="930"/>
      <c r="IC48" s="930"/>
      <c r="ID48" s="930"/>
      <c r="IE48" s="930"/>
      <c r="IF48" s="930"/>
      <c r="IG48" s="930"/>
      <c r="IH48" s="930"/>
      <c r="II48" s="930"/>
      <c r="IJ48" s="930"/>
      <c r="IK48" s="930"/>
      <c r="IL48" s="930"/>
      <c r="IM48" s="930"/>
      <c r="IN48" s="930"/>
      <c r="IO48" s="930"/>
      <c r="IP48" s="930"/>
      <c r="IQ48" s="930"/>
      <c r="IR48" s="930"/>
      <c r="IS48" s="930"/>
      <c r="IT48" s="930"/>
      <c r="IU48" s="930"/>
      <c r="IV48" s="930"/>
    </row>
    <row r="49" spans="1:256">
      <c r="A49" s="935">
        <f t="shared" si="9"/>
        <v>28</v>
      </c>
      <c r="B49" s="931" t="s">
        <v>361</v>
      </c>
      <c r="C49" s="942">
        <f t="shared" si="10"/>
        <v>0</v>
      </c>
      <c r="D49" s="942">
        <f t="shared" ref="D49:D57" si="11">D48+C49</f>
        <v>0</v>
      </c>
      <c r="E49" s="931">
        <v>30</v>
      </c>
      <c r="F49" s="869">
        <v>246</v>
      </c>
      <c r="G49" s="943">
        <f t="shared" si="6"/>
        <v>0.67397260273972603</v>
      </c>
      <c r="H49" s="942">
        <f t="shared" si="7"/>
        <v>0</v>
      </c>
      <c r="I49" s="942">
        <f t="shared" si="8"/>
        <v>0</v>
      </c>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0"/>
      <c r="AY49" s="930"/>
      <c r="AZ49" s="930"/>
      <c r="BA49" s="930"/>
      <c r="BB49" s="930"/>
      <c r="BC49" s="930"/>
      <c r="BD49" s="930"/>
      <c r="BE49" s="930"/>
      <c r="BF49" s="930"/>
      <c r="BG49" s="930"/>
      <c r="BH49" s="930"/>
      <c r="BI49" s="930"/>
      <c r="BJ49" s="930"/>
      <c r="BK49" s="930"/>
      <c r="BL49" s="930"/>
      <c r="BM49" s="930"/>
      <c r="BN49" s="930"/>
      <c r="BO49" s="930"/>
      <c r="BP49" s="930"/>
      <c r="BQ49" s="930"/>
      <c r="BR49" s="930"/>
      <c r="BS49" s="930"/>
      <c r="BT49" s="930"/>
      <c r="BU49" s="930"/>
      <c r="BV49" s="930"/>
      <c r="BW49" s="930"/>
      <c r="BX49" s="930"/>
      <c r="BY49" s="930"/>
      <c r="BZ49" s="930"/>
      <c r="CA49" s="930"/>
      <c r="CB49" s="930"/>
      <c r="CC49" s="930"/>
      <c r="CD49" s="930"/>
      <c r="CE49" s="930"/>
      <c r="CF49" s="930"/>
      <c r="CG49" s="930"/>
      <c r="CH49" s="930"/>
      <c r="CI49" s="930"/>
      <c r="CJ49" s="930"/>
      <c r="CK49" s="930"/>
      <c r="CL49" s="930"/>
      <c r="CM49" s="930"/>
      <c r="CN49" s="930"/>
      <c r="CO49" s="930"/>
      <c r="CP49" s="930"/>
      <c r="CQ49" s="930"/>
      <c r="CR49" s="930"/>
      <c r="CS49" s="930"/>
      <c r="CT49" s="930"/>
      <c r="CU49" s="930"/>
      <c r="CV49" s="930"/>
      <c r="CW49" s="930"/>
      <c r="CX49" s="930"/>
      <c r="CY49" s="930"/>
      <c r="CZ49" s="930"/>
      <c r="DA49" s="930"/>
      <c r="DB49" s="930"/>
      <c r="DC49" s="930"/>
      <c r="DD49" s="930"/>
      <c r="DE49" s="930"/>
      <c r="DF49" s="930"/>
      <c r="DG49" s="930"/>
      <c r="DH49" s="930"/>
      <c r="DI49" s="930"/>
      <c r="DJ49" s="930"/>
      <c r="DK49" s="930"/>
      <c r="DL49" s="930"/>
      <c r="DM49" s="930"/>
      <c r="DN49" s="930"/>
      <c r="DO49" s="930"/>
      <c r="DP49" s="930"/>
      <c r="DQ49" s="930"/>
      <c r="DR49" s="930"/>
      <c r="DS49" s="930"/>
      <c r="DT49" s="930"/>
      <c r="DU49" s="930"/>
      <c r="DV49" s="930"/>
      <c r="DW49" s="930"/>
      <c r="DX49" s="930"/>
      <c r="DY49" s="930"/>
      <c r="DZ49" s="930"/>
      <c r="EA49" s="930"/>
      <c r="EB49" s="930"/>
      <c r="EC49" s="930"/>
      <c r="ED49" s="930"/>
      <c r="EE49" s="930"/>
      <c r="EF49" s="930"/>
      <c r="EG49" s="930"/>
      <c r="EH49" s="930"/>
      <c r="EI49" s="930"/>
      <c r="EJ49" s="930"/>
      <c r="EK49" s="930"/>
      <c r="EL49" s="930"/>
      <c r="EM49" s="930"/>
      <c r="EN49" s="930"/>
      <c r="EO49" s="930"/>
      <c r="EP49" s="930"/>
      <c r="EQ49" s="930"/>
      <c r="ER49" s="930"/>
      <c r="ES49" s="930"/>
      <c r="ET49" s="930"/>
      <c r="EU49" s="930"/>
      <c r="EV49" s="930"/>
      <c r="EW49" s="930"/>
      <c r="EX49" s="930"/>
      <c r="EY49" s="930"/>
      <c r="EZ49" s="930"/>
      <c r="FA49" s="930"/>
      <c r="FB49" s="930"/>
      <c r="FC49" s="930"/>
      <c r="FD49" s="930"/>
      <c r="FE49" s="930"/>
      <c r="FF49" s="930"/>
      <c r="FG49" s="930"/>
      <c r="FH49" s="930"/>
      <c r="FI49" s="930"/>
      <c r="FJ49" s="930"/>
      <c r="FK49" s="930"/>
      <c r="FL49" s="930"/>
      <c r="FM49" s="930"/>
      <c r="FN49" s="930"/>
      <c r="FO49" s="930"/>
      <c r="FP49" s="930"/>
      <c r="FQ49" s="930"/>
      <c r="FR49" s="930"/>
      <c r="FS49" s="930"/>
      <c r="FT49" s="930"/>
      <c r="FU49" s="930"/>
      <c r="FV49" s="930"/>
      <c r="FW49" s="930"/>
      <c r="FX49" s="930"/>
      <c r="FY49" s="930"/>
      <c r="FZ49" s="930"/>
      <c r="GA49" s="930"/>
      <c r="GB49" s="930"/>
      <c r="GC49" s="930"/>
      <c r="GD49" s="930"/>
      <c r="GE49" s="930"/>
      <c r="GF49" s="930"/>
      <c r="GG49" s="930"/>
      <c r="GH49" s="930"/>
      <c r="GI49" s="930"/>
      <c r="GJ49" s="930"/>
      <c r="GK49" s="930"/>
      <c r="GL49" s="930"/>
      <c r="GM49" s="930"/>
      <c r="GN49" s="930"/>
      <c r="GO49" s="930"/>
      <c r="GP49" s="930"/>
      <c r="GQ49" s="930"/>
      <c r="GR49" s="930"/>
      <c r="GS49" s="930"/>
      <c r="GT49" s="930"/>
      <c r="GU49" s="930"/>
      <c r="GV49" s="930"/>
      <c r="GW49" s="930"/>
      <c r="GX49" s="930"/>
      <c r="GY49" s="930"/>
      <c r="GZ49" s="930"/>
      <c r="HA49" s="930"/>
      <c r="HB49" s="930"/>
      <c r="HC49" s="930"/>
      <c r="HD49" s="930"/>
      <c r="HE49" s="930"/>
      <c r="HF49" s="930"/>
      <c r="HG49" s="930"/>
      <c r="HH49" s="930"/>
      <c r="HI49" s="930"/>
      <c r="HJ49" s="930"/>
      <c r="HK49" s="930"/>
      <c r="HL49" s="930"/>
      <c r="HM49" s="930"/>
      <c r="HN49" s="930"/>
      <c r="HO49" s="930"/>
      <c r="HP49" s="930"/>
      <c r="HQ49" s="930"/>
      <c r="HR49" s="930"/>
      <c r="HS49" s="930"/>
      <c r="HT49" s="930"/>
      <c r="HU49" s="930"/>
      <c r="HV49" s="930"/>
      <c r="HW49" s="930"/>
      <c r="HX49" s="930"/>
      <c r="HY49" s="930"/>
      <c r="HZ49" s="930"/>
      <c r="IA49" s="930"/>
      <c r="IB49" s="930"/>
      <c r="IC49" s="930"/>
      <c r="ID49" s="930"/>
      <c r="IE49" s="930"/>
      <c r="IF49" s="930"/>
      <c r="IG49" s="930"/>
      <c r="IH49" s="930"/>
      <c r="II49" s="930"/>
      <c r="IJ49" s="930"/>
      <c r="IK49" s="930"/>
      <c r="IL49" s="930"/>
      <c r="IM49" s="930"/>
      <c r="IN49" s="930"/>
      <c r="IO49" s="930"/>
      <c r="IP49" s="930"/>
      <c r="IQ49" s="930"/>
      <c r="IR49" s="930"/>
      <c r="IS49" s="930"/>
      <c r="IT49" s="930"/>
      <c r="IU49" s="930"/>
      <c r="IV49" s="930"/>
    </row>
    <row r="50" spans="1:256">
      <c r="A50" s="935">
        <f t="shared" si="9"/>
        <v>29</v>
      </c>
      <c r="B50" s="931" t="s">
        <v>362</v>
      </c>
      <c r="C50" s="942">
        <f t="shared" si="10"/>
        <v>0</v>
      </c>
      <c r="D50" s="942">
        <f t="shared" si="11"/>
        <v>0</v>
      </c>
      <c r="E50" s="931">
        <v>31</v>
      </c>
      <c r="F50" s="869">
        <v>215</v>
      </c>
      <c r="G50" s="943">
        <f t="shared" si="6"/>
        <v>0.58904109589041098</v>
      </c>
      <c r="H50" s="942">
        <f t="shared" si="7"/>
        <v>0</v>
      </c>
      <c r="I50" s="942">
        <f t="shared" si="8"/>
        <v>0</v>
      </c>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0"/>
      <c r="AY50" s="930"/>
      <c r="AZ50" s="930"/>
      <c r="BA50" s="930"/>
      <c r="BB50" s="930"/>
      <c r="BC50" s="930"/>
      <c r="BD50" s="930"/>
      <c r="BE50" s="930"/>
      <c r="BF50" s="930"/>
      <c r="BG50" s="930"/>
      <c r="BH50" s="930"/>
      <c r="BI50" s="930"/>
      <c r="BJ50" s="930"/>
      <c r="BK50" s="930"/>
      <c r="BL50" s="930"/>
      <c r="BM50" s="930"/>
      <c r="BN50" s="930"/>
      <c r="BO50" s="930"/>
      <c r="BP50" s="930"/>
      <c r="BQ50" s="930"/>
      <c r="BR50" s="930"/>
      <c r="BS50" s="930"/>
      <c r="BT50" s="930"/>
      <c r="BU50" s="930"/>
      <c r="BV50" s="930"/>
      <c r="BW50" s="930"/>
      <c r="BX50" s="930"/>
      <c r="BY50" s="930"/>
      <c r="BZ50" s="930"/>
      <c r="CA50" s="930"/>
      <c r="CB50" s="930"/>
      <c r="CC50" s="930"/>
      <c r="CD50" s="930"/>
      <c r="CE50" s="930"/>
      <c r="CF50" s="930"/>
      <c r="CG50" s="930"/>
      <c r="CH50" s="930"/>
      <c r="CI50" s="930"/>
      <c r="CJ50" s="930"/>
      <c r="CK50" s="930"/>
      <c r="CL50" s="930"/>
      <c r="CM50" s="930"/>
      <c r="CN50" s="930"/>
      <c r="CO50" s="930"/>
      <c r="CP50" s="930"/>
      <c r="CQ50" s="930"/>
      <c r="CR50" s="930"/>
      <c r="CS50" s="930"/>
      <c r="CT50" s="930"/>
      <c r="CU50" s="930"/>
      <c r="CV50" s="930"/>
      <c r="CW50" s="930"/>
      <c r="CX50" s="930"/>
      <c r="CY50" s="930"/>
      <c r="CZ50" s="930"/>
      <c r="DA50" s="930"/>
      <c r="DB50" s="930"/>
      <c r="DC50" s="930"/>
      <c r="DD50" s="930"/>
      <c r="DE50" s="930"/>
      <c r="DF50" s="930"/>
      <c r="DG50" s="930"/>
      <c r="DH50" s="930"/>
      <c r="DI50" s="930"/>
      <c r="DJ50" s="930"/>
      <c r="DK50" s="930"/>
      <c r="DL50" s="930"/>
      <c r="DM50" s="930"/>
      <c r="DN50" s="930"/>
      <c r="DO50" s="930"/>
      <c r="DP50" s="930"/>
      <c r="DQ50" s="930"/>
      <c r="DR50" s="930"/>
      <c r="DS50" s="930"/>
      <c r="DT50" s="930"/>
      <c r="DU50" s="930"/>
      <c r="DV50" s="930"/>
      <c r="DW50" s="930"/>
      <c r="DX50" s="930"/>
      <c r="DY50" s="930"/>
      <c r="DZ50" s="930"/>
      <c r="EA50" s="930"/>
      <c r="EB50" s="930"/>
      <c r="EC50" s="930"/>
      <c r="ED50" s="930"/>
      <c r="EE50" s="930"/>
      <c r="EF50" s="930"/>
      <c r="EG50" s="930"/>
      <c r="EH50" s="930"/>
      <c r="EI50" s="930"/>
      <c r="EJ50" s="930"/>
      <c r="EK50" s="930"/>
      <c r="EL50" s="930"/>
      <c r="EM50" s="930"/>
      <c r="EN50" s="930"/>
      <c r="EO50" s="930"/>
      <c r="EP50" s="930"/>
      <c r="EQ50" s="930"/>
      <c r="ER50" s="930"/>
      <c r="ES50" s="930"/>
      <c r="ET50" s="930"/>
      <c r="EU50" s="930"/>
      <c r="EV50" s="930"/>
      <c r="EW50" s="930"/>
      <c r="EX50" s="930"/>
      <c r="EY50" s="930"/>
      <c r="EZ50" s="930"/>
      <c r="FA50" s="930"/>
      <c r="FB50" s="930"/>
      <c r="FC50" s="930"/>
      <c r="FD50" s="930"/>
      <c r="FE50" s="930"/>
      <c r="FF50" s="930"/>
      <c r="FG50" s="930"/>
      <c r="FH50" s="930"/>
      <c r="FI50" s="930"/>
      <c r="FJ50" s="930"/>
      <c r="FK50" s="930"/>
      <c r="FL50" s="930"/>
      <c r="FM50" s="930"/>
      <c r="FN50" s="930"/>
      <c r="FO50" s="930"/>
      <c r="FP50" s="930"/>
      <c r="FQ50" s="930"/>
      <c r="FR50" s="930"/>
      <c r="FS50" s="930"/>
      <c r="FT50" s="930"/>
      <c r="FU50" s="930"/>
      <c r="FV50" s="930"/>
      <c r="FW50" s="930"/>
      <c r="FX50" s="930"/>
      <c r="FY50" s="930"/>
      <c r="FZ50" s="930"/>
      <c r="GA50" s="930"/>
      <c r="GB50" s="930"/>
      <c r="GC50" s="930"/>
      <c r="GD50" s="930"/>
      <c r="GE50" s="930"/>
      <c r="GF50" s="930"/>
      <c r="GG50" s="930"/>
      <c r="GH50" s="930"/>
      <c r="GI50" s="930"/>
      <c r="GJ50" s="930"/>
      <c r="GK50" s="930"/>
      <c r="GL50" s="930"/>
      <c r="GM50" s="930"/>
      <c r="GN50" s="930"/>
      <c r="GO50" s="930"/>
      <c r="GP50" s="930"/>
      <c r="GQ50" s="930"/>
      <c r="GR50" s="930"/>
      <c r="GS50" s="930"/>
      <c r="GT50" s="930"/>
      <c r="GU50" s="930"/>
      <c r="GV50" s="930"/>
      <c r="GW50" s="930"/>
      <c r="GX50" s="930"/>
      <c r="GY50" s="930"/>
      <c r="GZ50" s="930"/>
      <c r="HA50" s="930"/>
      <c r="HB50" s="930"/>
      <c r="HC50" s="930"/>
      <c r="HD50" s="930"/>
      <c r="HE50" s="930"/>
      <c r="HF50" s="930"/>
      <c r="HG50" s="930"/>
      <c r="HH50" s="930"/>
      <c r="HI50" s="930"/>
      <c r="HJ50" s="930"/>
      <c r="HK50" s="930"/>
      <c r="HL50" s="930"/>
      <c r="HM50" s="930"/>
      <c r="HN50" s="930"/>
      <c r="HO50" s="930"/>
      <c r="HP50" s="930"/>
      <c r="HQ50" s="930"/>
      <c r="HR50" s="930"/>
      <c r="HS50" s="930"/>
      <c r="HT50" s="930"/>
      <c r="HU50" s="930"/>
      <c r="HV50" s="930"/>
      <c r="HW50" s="930"/>
      <c r="HX50" s="930"/>
      <c r="HY50" s="930"/>
      <c r="HZ50" s="930"/>
      <c r="IA50" s="930"/>
      <c r="IB50" s="930"/>
      <c r="IC50" s="930"/>
      <c r="ID50" s="930"/>
      <c r="IE50" s="930"/>
      <c r="IF50" s="930"/>
      <c r="IG50" s="930"/>
      <c r="IH50" s="930"/>
      <c r="II50" s="930"/>
      <c r="IJ50" s="930"/>
      <c r="IK50" s="930"/>
      <c r="IL50" s="930"/>
      <c r="IM50" s="930"/>
      <c r="IN50" s="930"/>
      <c r="IO50" s="930"/>
      <c r="IP50" s="930"/>
      <c r="IQ50" s="930"/>
      <c r="IR50" s="930"/>
      <c r="IS50" s="930"/>
      <c r="IT50" s="930"/>
      <c r="IU50" s="930"/>
      <c r="IV50" s="930"/>
    </row>
    <row r="51" spans="1:256">
      <c r="A51" s="935">
        <f t="shared" si="9"/>
        <v>30</v>
      </c>
      <c r="B51" s="931" t="s">
        <v>62</v>
      </c>
      <c r="C51" s="942">
        <f t="shared" si="10"/>
        <v>0</v>
      </c>
      <c r="D51" s="942">
        <f t="shared" si="11"/>
        <v>0</v>
      </c>
      <c r="E51" s="931">
        <v>30</v>
      </c>
      <c r="F51" s="869">
        <v>185</v>
      </c>
      <c r="G51" s="943">
        <f t="shared" si="6"/>
        <v>0.50684931506849318</v>
      </c>
      <c r="H51" s="942">
        <f t="shared" si="7"/>
        <v>0</v>
      </c>
      <c r="I51" s="942">
        <f t="shared" si="8"/>
        <v>0</v>
      </c>
      <c r="J51" s="930"/>
      <c r="K51" s="930"/>
      <c r="L51" s="930"/>
      <c r="M51" s="930"/>
      <c r="N51" s="930"/>
      <c r="O51" s="930"/>
      <c r="P51" s="930"/>
      <c r="Q51" s="930"/>
      <c r="R51" s="930"/>
      <c r="S51" s="930"/>
      <c r="T51" s="930"/>
      <c r="U51" s="930"/>
      <c r="V51" s="930"/>
      <c r="W51" s="930"/>
      <c r="X51" s="930"/>
      <c r="Y51" s="930"/>
      <c r="Z51" s="930"/>
      <c r="AA51" s="930"/>
      <c r="AB51" s="930"/>
      <c r="AC51" s="930"/>
      <c r="AD51" s="930"/>
      <c r="AE51" s="930"/>
      <c r="AF51" s="930"/>
      <c r="AG51" s="930"/>
      <c r="AH51" s="930"/>
      <c r="AI51" s="930"/>
      <c r="AJ51" s="930"/>
      <c r="AK51" s="930"/>
      <c r="AL51" s="930"/>
      <c r="AM51" s="930"/>
      <c r="AN51" s="930"/>
      <c r="AO51" s="930"/>
      <c r="AP51" s="930"/>
      <c r="AQ51" s="930"/>
      <c r="AR51" s="930"/>
      <c r="AS51" s="930"/>
      <c r="AT51" s="930"/>
      <c r="AU51" s="930"/>
      <c r="AV51" s="930"/>
      <c r="AW51" s="930"/>
      <c r="AX51" s="930"/>
      <c r="AY51" s="930"/>
      <c r="AZ51" s="930"/>
      <c r="BA51" s="930"/>
      <c r="BB51" s="930"/>
      <c r="BC51" s="930"/>
      <c r="BD51" s="930"/>
      <c r="BE51" s="930"/>
      <c r="BF51" s="930"/>
      <c r="BG51" s="930"/>
      <c r="BH51" s="930"/>
      <c r="BI51" s="930"/>
      <c r="BJ51" s="930"/>
      <c r="BK51" s="930"/>
      <c r="BL51" s="930"/>
      <c r="BM51" s="930"/>
      <c r="BN51" s="930"/>
      <c r="BO51" s="930"/>
      <c r="BP51" s="930"/>
      <c r="BQ51" s="930"/>
      <c r="BR51" s="930"/>
      <c r="BS51" s="930"/>
      <c r="BT51" s="930"/>
      <c r="BU51" s="930"/>
      <c r="BV51" s="930"/>
      <c r="BW51" s="930"/>
      <c r="BX51" s="930"/>
      <c r="BY51" s="930"/>
      <c r="BZ51" s="930"/>
      <c r="CA51" s="930"/>
      <c r="CB51" s="930"/>
      <c r="CC51" s="930"/>
      <c r="CD51" s="930"/>
      <c r="CE51" s="930"/>
      <c r="CF51" s="930"/>
      <c r="CG51" s="930"/>
      <c r="CH51" s="930"/>
      <c r="CI51" s="930"/>
      <c r="CJ51" s="930"/>
      <c r="CK51" s="930"/>
      <c r="CL51" s="930"/>
      <c r="CM51" s="930"/>
      <c r="CN51" s="930"/>
      <c r="CO51" s="930"/>
      <c r="CP51" s="930"/>
      <c r="CQ51" s="930"/>
      <c r="CR51" s="930"/>
      <c r="CS51" s="930"/>
      <c r="CT51" s="930"/>
      <c r="CU51" s="930"/>
      <c r="CV51" s="930"/>
      <c r="CW51" s="930"/>
      <c r="CX51" s="930"/>
      <c r="CY51" s="930"/>
      <c r="CZ51" s="930"/>
      <c r="DA51" s="930"/>
      <c r="DB51" s="930"/>
      <c r="DC51" s="930"/>
      <c r="DD51" s="930"/>
      <c r="DE51" s="930"/>
      <c r="DF51" s="930"/>
      <c r="DG51" s="930"/>
      <c r="DH51" s="930"/>
      <c r="DI51" s="930"/>
      <c r="DJ51" s="930"/>
      <c r="DK51" s="930"/>
      <c r="DL51" s="930"/>
      <c r="DM51" s="930"/>
      <c r="DN51" s="930"/>
      <c r="DO51" s="930"/>
      <c r="DP51" s="930"/>
      <c r="DQ51" s="930"/>
      <c r="DR51" s="930"/>
      <c r="DS51" s="930"/>
      <c r="DT51" s="930"/>
      <c r="DU51" s="930"/>
      <c r="DV51" s="930"/>
      <c r="DW51" s="930"/>
      <c r="DX51" s="930"/>
      <c r="DY51" s="930"/>
      <c r="DZ51" s="930"/>
      <c r="EA51" s="930"/>
      <c r="EB51" s="930"/>
      <c r="EC51" s="930"/>
      <c r="ED51" s="930"/>
      <c r="EE51" s="930"/>
      <c r="EF51" s="930"/>
      <c r="EG51" s="930"/>
      <c r="EH51" s="930"/>
      <c r="EI51" s="930"/>
      <c r="EJ51" s="930"/>
      <c r="EK51" s="930"/>
      <c r="EL51" s="930"/>
      <c r="EM51" s="930"/>
      <c r="EN51" s="930"/>
      <c r="EO51" s="930"/>
      <c r="EP51" s="930"/>
      <c r="EQ51" s="930"/>
      <c r="ER51" s="930"/>
      <c r="ES51" s="930"/>
      <c r="ET51" s="930"/>
      <c r="EU51" s="930"/>
      <c r="EV51" s="930"/>
      <c r="EW51" s="930"/>
      <c r="EX51" s="930"/>
      <c r="EY51" s="930"/>
      <c r="EZ51" s="930"/>
      <c r="FA51" s="930"/>
      <c r="FB51" s="930"/>
      <c r="FC51" s="930"/>
      <c r="FD51" s="930"/>
      <c r="FE51" s="930"/>
      <c r="FF51" s="930"/>
      <c r="FG51" s="930"/>
      <c r="FH51" s="930"/>
      <c r="FI51" s="930"/>
      <c r="FJ51" s="930"/>
      <c r="FK51" s="930"/>
      <c r="FL51" s="930"/>
      <c r="FM51" s="930"/>
      <c r="FN51" s="930"/>
      <c r="FO51" s="930"/>
      <c r="FP51" s="930"/>
      <c r="FQ51" s="930"/>
      <c r="FR51" s="930"/>
      <c r="FS51" s="930"/>
      <c r="FT51" s="930"/>
      <c r="FU51" s="930"/>
      <c r="FV51" s="930"/>
      <c r="FW51" s="930"/>
      <c r="FX51" s="930"/>
      <c r="FY51" s="930"/>
      <c r="FZ51" s="930"/>
      <c r="GA51" s="930"/>
      <c r="GB51" s="930"/>
      <c r="GC51" s="930"/>
      <c r="GD51" s="930"/>
      <c r="GE51" s="930"/>
      <c r="GF51" s="930"/>
      <c r="GG51" s="930"/>
      <c r="GH51" s="930"/>
      <c r="GI51" s="930"/>
      <c r="GJ51" s="930"/>
      <c r="GK51" s="930"/>
      <c r="GL51" s="930"/>
      <c r="GM51" s="930"/>
      <c r="GN51" s="930"/>
      <c r="GO51" s="930"/>
      <c r="GP51" s="930"/>
      <c r="GQ51" s="930"/>
      <c r="GR51" s="930"/>
      <c r="GS51" s="930"/>
      <c r="GT51" s="930"/>
      <c r="GU51" s="930"/>
      <c r="GV51" s="930"/>
      <c r="GW51" s="930"/>
      <c r="GX51" s="930"/>
      <c r="GY51" s="930"/>
      <c r="GZ51" s="930"/>
      <c r="HA51" s="930"/>
      <c r="HB51" s="930"/>
      <c r="HC51" s="930"/>
      <c r="HD51" s="930"/>
      <c r="HE51" s="930"/>
      <c r="HF51" s="930"/>
      <c r="HG51" s="930"/>
      <c r="HH51" s="930"/>
      <c r="HI51" s="930"/>
      <c r="HJ51" s="930"/>
      <c r="HK51" s="930"/>
      <c r="HL51" s="930"/>
      <c r="HM51" s="930"/>
      <c r="HN51" s="930"/>
      <c r="HO51" s="930"/>
      <c r="HP51" s="930"/>
      <c r="HQ51" s="930"/>
      <c r="HR51" s="930"/>
      <c r="HS51" s="930"/>
      <c r="HT51" s="930"/>
      <c r="HU51" s="930"/>
      <c r="HV51" s="930"/>
      <c r="HW51" s="930"/>
      <c r="HX51" s="930"/>
      <c r="HY51" s="930"/>
      <c r="HZ51" s="930"/>
      <c r="IA51" s="930"/>
      <c r="IB51" s="930"/>
      <c r="IC51" s="930"/>
      <c r="ID51" s="930"/>
      <c r="IE51" s="930"/>
      <c r="IF51" s="930"/>
      <c r="IG51" s="930"/>
      <c r="IH51" s="930"/>
      <c r="II51" s="930"/>
      <c r="IJ51" s="930"/>
      <c r="IK51" s="930"/>
      <c r="IL51" s="930"/>
      <c r="IM51" s="930"/>
      <c r="IN51" s="930"/>
      <c r="IO51" s="930"/>
      <c r="IP51" s="930"/>
      <c r="IQ51" s="930"/>
      <c r="IR51" s="930"/>
      <c r="IS51" s="930"/>
      <c r="IT51" s="930"/>
      <c r="IU51" s="930"/>
      <c r="IV51" s="930"/>
    </row>
    <row r="52" spans="1:256">
      <c r="A52" s="935">
        <f t="shared" si="9"/>
        <v>31</v>
      </c>
      <c r="B52" s="931" t="s">
        <v>363</v>
      </c>
      <c r="C52" s="942">
        <f t="shared" si="10"/>
        <v>0</v>
      </c>
      <c r="D52" s="942">
        <f t="shared" si="11"/>
        <v>0</v>
      </c>
      <c r="E52" s="931">
        <v>31</v>
      </c>
      <c r="F52" s="869">
        <v>154</v>
      </c>
      <c r="G52" s="943">
        <f t="shared" si="6"/>
        <v>0.42191780821917807</v>
      </c>
      <c r="H52" s="942">
        <f t="shared" si="7"/>
        <v>0</v>
      </c>
      <c r="I52" s="942">
        <f t="shared" ref="I52:I57" si="12">I51+H52</f>
        <v>0</v>
      </c>
      <c r="J52" s="930"/>
      <c r="K52" s="930"/>
      <c r="L52" s="930"/>
      <c r="M52" s="930"/>
      <c r="N52" s="930"/>
      <c r="O52" s="930"/>
      <c r="P52" s="930"/>
      <c r="Q52" s="930"/>
      <c r="R52" s="930"/>
      <c r="S52" s="930"/>
      <c r="T52" s="930"/>
      <c r="U52" s="930"/>
      <c r="V52" s="930"/>
      <c r="W52" s="930"/>
      <c r="X52" s="930"/>
      <c r="Y52" s="930"/>
      <c r="Z52" s="930"/>
      <c r="AA52" s="930"/>
      <c r="AB52" s="930"/>
      <c r="AC52" s="930"/>
      <c r="AD52" s="930"/>
      <c r="AE52" s="930"/>
      <c r="AF52" s="930"/>
      <c r="AG52" s="930"/>
      <c r="AH52" s="930"/>
      <c r="AI52" s="930"/>
      <c r="AJ52" s="930"/>
      <c r="AK52" s="930"/>
      <c r="AL52" s="930"/>
      <c r="AM52" s="930"/>
      <c r="AN52" s="930"/>
      <c r="AO52" s="930"/>
      <c r="AP52" s="930"/>
      <c r="AQ52" s="930"/>
      <c r="AR52" s="930"/>
      <c r="AS52" s="930"/>
      <c r="AT52" s="930"/>
      <c r="AU52" s="930"/>
      <c r="AV52" s="930"/>
      <c r="AW52" s="930"/>
      <c r="AX52" s="930"/>
      <c r="AY52" s="930"/>
      <c r="AZ52" s="930"/>
      <c r="BA52" s="930"/>
      <c r="BB52" s="930"/>
      <c r="BC52" s="930"/>
      <c r="BD52" s="930"/>
      <c r="BE52" s="930"/>
      <c r="BF52" s="930"/>
      <c r="BG52" s="930"/>
      <c r="BH52" s="930"/>
      <c r="BI52" s="930"/>
      <c r="BJ52" s="930"/>
      <c r="BK52" s="930"/>
      <c r="BL52" s="930"/>
      <c r="BM52" s="930"/>
      <c r="BN52" s="930"/>
      <c r="BO52" s="930"/>
      <c r="BP52" s="930"/>
      <c r="BQ52" s="930"/>
      <c r="BR52" s="930"/>
      <c r="BS52" s="930"/>
      <c r="BT52" s="930"/>
      <c r="BU52" s="930"/>
      <c r="BV52" s="930"/>
      <c r="BW52" s="930"/>
      <c r="BX52" s="930"/>
      <c r="BY52" s="930"/>
      <c r="BZ52" s="930"/>
      <c r="CA52" s="930"/>
      <c r="CB52" s="930"/>
      <c r="CC52" s="930"/>
      <c r="CD52" s="930"/>
      <c r="CE52" s="930"/>
      <c r="CF52" s="930"/>
      <c r="CG52" s="930"/>
      <c r="CH52" s="930"/>
      <c r="CI52" s="930"/>
      <c r="CJ52" s="930"/>
      <c r="CK52" s="930"/>
      <c r="CL52" s="930"/>
      <c r="CM52" s="930"/>
      <c r="CN52" s="930"/>
      <c r="CO52" s="930"/>
      <c r="CP52" s="930"/>
      <c r="CQ52" s="930"/>
      <c r="CR52" s="930"/>
      <c r="CS52" s="930"/>
      <c r="CT52" s="930"/>
      <c r="CU52" s="930"/>
      <c r="CV52" s="930"/>
      <c r="CW52" s="930"/>
      <c r="CX52" s="930"/>
      <c r="CY52" s="930"/>
      <c r="CZ52" s="930"/>
      <c r="DA52" s="930"/>
      <c r="DB52" s="930"/>
      <c r="DC52" s="930"/>
      <c r="DD52" s="930"/>
      <c r="DE52" s="930"/>
      <c r="DF52" s="930"/>
      <c r="DG52" s="930"/>
      <c r="DH52" s="930"/>
      <c r="DI52" s="930"/>
      <c r="DJ52" s="930"/>
      <c r="DK52" s="930"/>
      <c r="DL52" s="930"/>
      <c r="DM52" s="930"/>
      <c r="DN52" s="930"/>
      <c r="DO52" s="930"/>
      <c r="DP52" s="930"/>
      <c r="DQ52" s="930"/>
      <c r="DR52" s="930"/>
      <c r="DS52" s="930"/>
      <c r="DT52" s="930"/>
      <c r="DU52" s="930"/>
      <c r="DV52" s="930"/>
      <c r="DW52" s="930"/>
      <c r="DX52" s="930"/>
      <c r="DY52" s="930"/>
      <c r="DZ52" s="930"/>
      <c r="EA52" s="930"/>
      <c r="EB52" s="930"/>
      <c r="EC52" s="930"/>
      <c r="ED52" s="930"/>
      <c r="EE52" s="930"/>
      <c r="EF52" s="930"/>
      <c r="EG52" s="930"/>
      <c r="EH52" s="930"/>
      <c r="EI52" s="930"/>
      <c r="EJ52" s="930"/>
      <c r="EK52" s="930"/>
      <c r="EL52" s="930"/>
      <c r="EM52" s="930"/>
      <c r="EN52" s="930"/>
      <c r="EO52" s="930"/>
      <c r="EP52" s="930"/>
      <c r="EQ52" s="930"/>
      <c r="ER52" s="930"/>
      <c r="ES52" s="930"/>
      <c r="ET52" s="930"/>
      <c r="EU52" s="930"/>
      <c r="EV52" s="930"/>
      <c r="EW52" s="930"/>
      <c r="EX52" s="930"/>
      <c r="EY52" s="930"/>
      <c r="EZ52" s="930"/>
      <c r="FA52" s="930"/>
      <c r="FB52" s="930"/>
      <c r="FC52" s="930"/>
      <c r="FD52" s="930"/>
      <c r="FE52" s="930"/>
      <c r="FF52" s="930"/>
      <c r="FG52" s="930"/>
      <c r="FH52" s="930"/>
      <c r="FI52" s="930"/>
      <c r="FJ52" s="930"/>
      <c r="FK52" s="930"/>
      <c r="FL52" s="930"/>
      <c r="FM52" s="930"/>
      <c r="FN52" s="930"/>
      <c r="FO52" s="930"/>
      <c r="FP52" s="930"/>
      <c r="FQ52" s="930"/>
      <c r="FR52" s="930"/>
      <c r="FS52" s="930"/>
      <c r="FT52" s="930"/>
      <c r="FU52" s="930"/>
      <c r="FV52" s="930"/>
      <c r="FW52" s="930"/>
      <c r="FX52" s="930"/>
      <c r="FY52" s="930"/>
      <c r="FZ52" s="930"/>
      <c r="GA52" s="930"/>
      <c r="GB52" s="930"/>
      <c r="GC52" s="930"/>
      <c r="GD52" s="930"/>
      <c r="GE52" s="930"/>
      <c r="GF52" s="930"/>
      <c r="GG52" s="930"/>
      <c r="GH52" s="930"/>
      <c r="GI52" s="930"/>
      <c r="GJ52" s="930"/>
      <c r="GK52" s="930"/>
      <c r="GL52" s="930"/>
      <c r="GM52" s="930"/>
      <c r="GN52" s="930"/>
      <c r="GO52" s="930"/>
      <c r="GP52" s="930"/>
      <c r="GQ52" s="930"/>
      <c r="GR52" s="930"/>
      <c r="GS52" s="930"/>
      <c r="GT52" s="930"/>
      <c r="GU52" s="930"/>
      <c r="GV52" s="930"/>
      <c r="GW52" s="930"/>
      <c r="GX52" s="930"/>
      <c r="GY52" s="930"/>
      <c r="GZ52" s="930"/>
      <c r="HA52" s="930"/>
      <c r="HB52" s="930"/>
      <c r="HC52" s="930"/>
      <c r="HD52" s="930"/>
      <c r="HE52" s="930"/>
      <c r="HF52" s="930"/>
      <c r="HG52" s="930"/>
      <c r="HH52" s="930"/>
      <c r="HI52" s="930"/>
      <c r="HJ52" s="930"/>
      <c r="HK52" s="930"/>
      <c r="HL52" s="930"/>
      <c r="HM52" s="930"/>
      <c r="HN52" s="930"/>
      <c r="HO52" s="930"/>
      <c r="HP52" s="930"/>
      <c r="HQ52" s="930"/>
      <c r="HR52" s="930"/>
      <c r="HS52" s="930"/>
      <c r="HT52" s="930"/>
      <c r="HU52" s="930"/>
      <c r="HV52" s="930"/>
      <c r="HW52" s="930"/>
      <c r="HX52" s="930"/>
      <c r="HY52" s="930"/>
      <c r="HZ52" s="930"/>
      <c r="IA52" s="930"/>
      <c r="IB52" s="930"/>
      <c r="IC52" s="930"/>
      <c r="ID52" s="930"/>
      <c r="IE52" s="930"/>
      <c r="IF52" s="930"/>
      <c r="IG52" s="930"/>
      <c r="IH52" s="930"/>
      <c r="II52" s="930"/>
      <c r="IJ52" s="930"/>
      <c r="IK52" s="930"/>
      <c r="IL52" s="930"/>
      <c r="IM52" s="930"/>
      <c r="IN52" s="930"/>
      <c r="IO52" s="930"/>
      <c r="IP52" s="930"/>
      <c r="IQ52" s="930"/>
      <c r="IR52" s="930"/>
      <c r="IS52" s="930"/>
      <c r="IT52" s="930"/>
      <c r="IU52" s="930"/>
      <c r="IV52" s="930"/>
    </row>
    <row r="53" spans="1:256">
      <c r="A53" s="935">
        <f t="shared" si="9"/>
        <v>32</v>
      </c>
      <c r="B53" s="931" t="s">
        <v>364</v>
      </c>
      <c r="C53" s="942">
        <f t="shared" si="10"/>
        <v>0</v>
      </c>
      <c r="D53" s="942">
        <f t="shared" si="11"/>
        <v>0</v>
      </c>
      <c r="E53" s="931">
        <v>31</v>
      </c>
      <c r="F53" s="869">
        <v>123</v>
      </c>
      <c r="G53" s="943">
        <f t="shared" si="6"/>
        <v>0.33698630136986302</v>
      </c>
      <c r="H53" s="942">
        <f t="shared" si="7"/>
        <v>0</v>
      </c>
      <c r="I53" s="942">
        <f t="shared" si="12"/>
        <v>0</v>
      </c>
      <c r="J53" s="930"/>
      <c r="K53" s="930"/>
      <c r="L53" s="930"/>
      <c r="M53" s="930"/>
      <c r="N53" s="930"/>
      <c r="O53" s="930"/>
      <c r="P53" s="930"/>
      <c r="Q53" s="930"/>
      <c r="R53" s="930"/>
      <c r="S53" s="930"/>
      <c r="T53" s="930"/>
      <c r="U53" s="930"/>
      <c r="V53" s="930"/>
      <c r="W53" s="930"/>
      <c r="X53" s="930"/>
      <c r="Y53" s="930"/>
      <c r="Z53" s="930"/>
      <c r="AA53" s="930"/>
      <c r="AB53" s="930"/>
      <c r="AC53" s="930"/>
      <c r="AD53" s="930"/>
      <c r="AE53" s="930"/>
      <c r="AF53" s="930"/>
      <c r="AG53" s="930"/>
      <c r="AH53" s="930"/>
      <c r="AI53" s="930"/>
      <c r="AJ53" s="930"/>
      <c r="AK53" s="930"/>
      <c r="AL53" s="930"/>
      <c r="AM53" s="930"/>
      <c r="AN53" s="930"/>
      <c r="AO53" s="930"/>
      <c r="AP53" s="930"/>
      <c r="AQ53" s="930"/>
      <c r="AR53" s="930"/>
      <c r="AS53" s="930"/>
      <c r="AT53" s="930"/>
      <c r="AU53" s="930"/>
      <c r="AV53" s="930"/>
      <c r="AW53" s="930"/>
      <c r="AX53" s="930"/>
      <c r="AY53" s="930"/>
      <c r="AZ53" s="930"/>
      <c r="BA53" s="930"/>
      <c r="BB53" s="930"/>
      <c r="BC53" s="930"/>
      <c r="BD53" s="930"/>
      <c r="BE53" s="930"/>
      <c r="BF53" s="930"/>
      <c r="BG53" s="930"/>
      <c r="BH53" s="930"/>
      <c r="BI53" s="930"/>
      <c r="BJ53" s="930"/>
      <c r="BK53" s="930"/>
      <c r="BL53" s="930"/>
      <c r="BM53" s="930"/>
      <c r="BN53" s="930"/>
      <c r="BO53" s="930"/>
      <c r="BP53" s="930"/>
      <c r="BQ53" s="930"/>
      <c r="BR53" s="930"/>
      <c r="BS53" s="930"/>
      <c r="BT53" s="930"/>
      <c r="BU53" s="930"/>
      <c r="BV53" s="930"/>
      <c r="BW53" s="930"/>
      <c r="BX53" s="930"/>
      <c r="BY53" s="930"/>
      <c r="BZ53" s="930"/>
      <c r="CA53" s="930"/>
      <c r="CB53" s="930"/>
      <c r="CC53" s="930"/>
      <c r="CD53" s="930"/>
      <c r="CE53" s="930"/>
      <c r="CF53" s="930"/>
      <c r="CG53" s="930"/>
      <c r="CH53" s="930"/>
      <c r="CI53" s="930"/>
      <c r="CJ53" s="930"/>
      <c r="CK53" s="930"/>
      <c r="CL53" s="930"/>
      <c r="CM53" s="930"/>
      <c r="CN53" s="930"/>
      <c r="CO53" s="930"/>
      <c r="CP53" s="930"/>
      <c r="CQ53" s="930"/>
      <c r="CR53" s="930"/>
      <c r="CS53" s="930"/>
      <c r="CT53" s="930"/>
      <c r="CU53" s="930"/>
      <c r="CV53" s="930"/>
      <c r="CW53" s="930"/>
      <c r="CX53" s="930"/>
      <c r="CY53" s="930"/>
      <c r="CZ53" s="930"/>
      <c r="DA53" s="930"/>
      <c r="DB53" s="930"/>
      <c r="DC53" s="930"/>
      <c r="DD53" s="930"/>
      <c r="DE53" s="930"/>
      <c r="DF53" s="930"/>
      <c r="DG53" s="930"/>
      <c r="DH53" s="930"/>
      <c r="DI53" s="930"/>
      <c r="DJ53" s="930"/>
      <c r="DK53" s="930"/>
      <c r="DL53" s="930"/>
      <c r="DM53" s="930"/>
      <c r="DN53" s="930"/>
      <c r="DO53" s="930"/>
      <c r="DP53" s="930"/>
      <c r="DQ53" s="930"/>
      <c r="DR53" s="930"/>
      <c r="DS53" s="930"/>
      <c r="DT53" s="930"/>
      <c r="DU53" s="930"/>
      <c r="DV53" s="930"/>
      <c r="DW53" s="930"/>
      <c r="DX53" s="930"/>
      <c r="DY53" s="930"/>
      <c r="DZ53" s="930"/>
      <c r="EA53" s="930"/>
      <c r="EB53" s="930"/>
      <c r="EC53" s="930"/>
      <c r="ED53" s="930"/>
      <c r="EE53" s="930"/>
      <c r="EF53" s="930"/>
      <c r="EG53" s="930"/>
      <c r="EH53" s="930"/>
      <c r="EI53" s="930"/>
      <c r="EJ53" s="930"/>
      <c r="EK53" s="930"/>
      <c r="EL53" s="930"/>
      <c r="EM53" s="930"/>
      <c r="EN53" s="930"/>
      <c r="EO53" s="930"/>
      <c r="EP53" s="930"/>
      <c r="EQ53" s="930"/>
      <c r="ER53" s="930"/>
      <c r="ES53" s="930"/>
      <c r="ET53" s="930"/>
      <c r="EU53" s="930"/>
      <c r="EV53" s="930"/>
      <c r="EW53" s="930"/>
      <c r="EX53" s="930"/>
      <c r="EY53" s="930"/>
      <c r="EZ53" s="930"/>
      <c r="FA53" s="930"/>
      <c r="FB53" s="930"/>
      <c r="FC53" s="930"/>
      <c r="FD53" s="930"/>
      <c r="FE53" s="930"/>
      <c r="FF53" s="930"/>
      <c r="FG53" s="930"/>
      <c r="FH53" s="930"/>
      <c r="FI53" s="930"/>
      <c r="FJ53" s="930"/>
      <c r="FK53" s="930"/>
      <c r="FL53" s="930"/>
      <c r="FM53" s="930"/>
      <c r="FN53" s="930"/>
      <c r="FO53" s="930"/>
      <c r="FP53" s="930"/>
      <c r="FQ53" s="930"/>
      <c r="FR53" s="930"/>
      <c r="FS53" s="930"/>
      <c r="FT53" s="930"/>
      <c r="FU53" s="930"/>
      <c r="FV53" s="930"/>
      <c r="FW53" s="930"/>
      <c r="FX53" s="930"/>
      <c r="FY53" s="930"/>
      <c r="FZ53" s="930"/>
      <c r="GA53" s="930"/>
      <c r="GB53" s="930"/>
      <c r="GC53" s="930"/>
      <c r="GD53" s="930"/>
      <c r="GE53" s="930"/>
      <c r="GF53" s="930"/>
      <c r="GG53" s="930"/>
      <c r="GH53" s="930"/>
      <c r="GI53" s="930"/>
      <c r="GJ53" s="930"/>
      <c r="GK53" s="930"/>
      <c r="GL53" s="930"/>
      <c r="GM53" s="930"/>
      <c r="GN53" s="930"/>
      <c r="GO53" s="930"/>
      <c r="GP53" s="930"/>
      <c r="GQ53" s="930"/>
      <c r="GR53" s="930"/>
      <c r="GS53" s="930"/>
      <c r="GT53" s="930"/>
      <c r="GU53" s="930"/>
      <c r="GV53" s="930"/>
      <c r="GW53" s="930"/>
      <c r="GX53" s="930"/>
      <c r="GY53" s="930"/>
      <c r="GZ53" s="930"/>
      <c r="HA53" s="930"/>
      <c r="HB53" s="930"/>
      <c r="HC53" s="930"/>
      <c r="HD53" s="930"/>
      <c r="HE53" s="930"/>
      <c r="HF53" s="930"/>
      <c r="HG53" s="930"/>
      <c r="HH53" s="930"/>
      <c r="HI53" s="930"/>
      <c r="HJ53" s="930"/>
      <c r="HK53" s="930"/>
      <c r="HL53" s="930"/>
      <c r="HM53" s="930"/>
      <c r="HN53" s="930"/>
      <c r="HO53" s="930"/>
      <c r="HP53" s="930"/>
      <c r="HQ53" s="930"/>
      <c r="HR53" s="930"/>
      <c r="HS53" s="930"/>
      <c r="HT53" s="930"/>
      <c r="HU53" s="930"/>
      <c r="HV53" s="930"/>
      <c r="HW53" s="930"/>
      <c r="HX53" s="930"/>
      <c r="HY53" s="930"/>
      <c r="HZ53" s="930"/>
      <c r="IA53" s="930"/>
      <c r="IB53" s="930"/>
      <c r="IC53" s="930"/>
      <c r="ID53" s="930"/>
      <c r="IE53" s="930"/>
      <c r="IF53" s="930"/>
      <c r="IG53" s="930"/>
      <c r="IH53" s="930"/>
      <c r="II53" s="930"/>
      <c r="IJ53" s="930"/>
      <c r="IK53" s="930"/>
      <c r="IL53" s="930"/>
      <c r="IM53" s="930"/>
      <c r="IN53" s="930"/>
      <c r="IO53" s="930"/>
      <c r="IP53" s="930"/>
      <c r="IQ53" s="930"/>
      <c r="IR53" s="930"/>
      <c r="IS53" s="930"/>
      <c r="IT53" s="930"/>
      <c r="IU53" s="930"/>
      <c r="IV53" s="930"/>
    </row>
    <row r="54" spans="1:256">
      <c r="A54" s="935">
        <f t="shared" si="9"/>
        <v>33</v>
      </c>
      <c r="B54" s="931" t="s">
        <v>366</v>
      </c>
      <c r="C54" s="942">
        <f t="shared" si="10"/>
        <v>0</v>
      </c>
      <c r="D54" s="942">
        <f t="shared" si="11"/>
        <v>0</v>
      </c>
      <c r="E54" s="931">
        <v>30</v>
      </c>
      <c r="F54" s="869">
        <v>93</v>
      </c>
      <c r="G54" s="943">
        <f t="shared" si="6"/>
        <v>0.25479452054794521</v>
      </c>
      <c r="H54" s="942">
        <f t="shared" si="7"/>
        <v>0</v>
      </c>
      <c r="I54" s="942">
        <f t="shared" si="12"/>
        <v>0</v>
      </c>
      <c r="J54" s="930"/>
      <c r="K54" s="930"/>
      <c r="L54" s="930"/>
      <c r="M54" s="930"/>
      <c r="N54" s="930"/>
      <c r="O54" s="930"/>
      <c r="P54" s="930"/>
      <c r="Q54" s="930"/>
      <c r="R54" s="930"/>
      <c r="S54" s="930"/>
      <c r="T54" s="930"/>
      <c r="U54" s="930"/>
      <c r="V54" s="930"/>
      <c r="W54" s="930"/>
      <c r="X54" s="930"/>
      <c r="Y54" s="930"/>
      <c r="Z54" s="930"/>
      <c r="AA54" s="930"/>
      <c r="AB54" s="930"/>
      <c r="AC54" s="930"/>
      <c r="AD54" s="930"/>
      <c r="AE54" s="930"/>
      <c r="AF54" s="930"/>
      <c r="AG54" s="930"/>
      <c r="AH54" s="930"/>
      <c r="AI54" s="930"/>
      <c r="AJ54" s="930"/>
      <c r="AK54" s="930"/>
      <c r="AL54" s="930"/>
      <c r="AM54" s="930"/>
      <c r="AN54" s="930"/>
      <c r="AO54" s="930"/>
      <c r="AP54" s="930"/>
      <c r="AQ54" s="930"/>
      <c r="AR54" s="930"/>
      <c r="AS54" s="930"/>
      <c r="AT54" s="930"/>
      <c r="AU54" s="930"/>
      <c r="AV54" s="930"/>
      <c r="AW54" s="930"/>
      <c r="AX54" s="930"/>
      <c r="AY54" s="930"/>
      <c r="AZ54" s="930"/>
      <c r="BA54" s="930"/>
      <c r="BB54" s="930"/>
      <c r="BC54" s="930"/>
      <c r="BD54" s="930"/>
      <c r="BE54" s="930"/>
      <c r="BF54" s="930"/>
      <c r="BG54" s="930"/>
      <c r="BH54" s="930"/>
      <c r="BI54" s="930"/>
      <c r="BJ54" s="930"/>
      <c r="BK54" s="930"/>
      <c r="BL54" s="930"/>
      <c r="BM54" s="930"/>
      <c r="BN54" s="930"/>
      <c r="BO54" s="930"/>
      <c r="BP54" s="930"/>
      <c r="BQ54" s="930"/>
      <c r="BR54" s="930"/>
      <c r="BS54" s="930"/>
      <c r="BT54" s="930"/>
      <c r="BU54" s="930"/>
      <c r="BV54" s="930"/>
      <c r="BW54" s="930"/>
      <c r="BX54" s="930"/>
      <c r="BY54" s="930"/>
      <c r="BZ54" s="930"/>
      <c r="CA54" s="930"/>
      <c r="CB54" s="930"/>
      <c r="CC54" s="930"/>
      <c r="CD54" s="930"/>
      <c r="CE54" s="930"/>
      <c r="CF54" s="930"/>
      <c r="CG54" s="930"/>
      <c r="CH54" s="930"/>
      <c r="CI54" s="930"/>
      <c r="CJ54" s="930"/>
      <c r="CK54" s="930"/>
      <c r="CL54" s="930"/>
      <c r="CM54" s="930"/>
      <c r="CN54" s="930"/>
      <c r="CO54" s="930"/>
      <c r="CP54" s="930"/>
      <c r="CQ54" s="930"/>
      <c r="CR54" s="930"/>
      <c r="CS54" s="930"/>
      <c r="CT54" s="930"/>
      <c r="CU54" s="930"/>
      <c r="CV54" s="930"/>
      <c r="CW54" s="930"/>
      <c r="CX54" s="930"/>
      <c r="CY54" s="930"/>
      <c r="CZ54" s="930"/>
      <c r="DA54" s="930"/>
      <c r="DB54" s="930"/>
      <c r="DC54" s="930"/>
      <c r="DD54" s="930"/>
      <c r="DE54" s="930"/>
      <c r="DF54" s="930"/>
      <c r="DG54" s="930"/>
      <c r="DH54" s="930"/>
      <c r="DI54" s="930"/>
      <c r="DJ54" s="930"/>
      <c r="DK54" s="930"/>
      <c r="DL54" s="930"/>
      <c r="DM54" s="930"/>
      <c r="DN54" s="930"/>
      <c r="DO54" s="930"/>
      <c r="DP54" s="930"/>
      <c r="DQ54" s="930"/>
      <c r="DR54" s="930"/>
      <c r="DS54" s="930"/>
      <c r="DT54" s="930"/>
      <c r="DU54" s="930"/>
      <c r="DV54" s="930"/>
      <c r="DW54" s="930"/>
      <c r="DX54" s="930"/>
      <c r="DY54" s="930"/>
      <c r="DZ54" s="930"/>
      <c r="EA54" s="930"/>
      <c r="EB54" s="930"/>
      <c r="EC54" s="930"/>
      <c r="ED54" s="930"/>
      <c r="EE54" s="930"/>
      <c r="EF54" s="930"/>
      <c r="EG54" s="930"/>
      <c r="EH54" s="930"/>
      <c r="EI54" s="930"/>
      <c r="EJ54" s="930"/>
      <c r="EK54" s="930"/>
      <c r="EL54" s="930"/>
      <c r="EM54" s="930"/>
      <c r="EN54" s="930"/>
      <c r="EO54" s="930"/>
      <c r="EP54" s="930"/>
      <c r="EQ54" s="930"/>
      <c r="ER54" s="930"/>
      <c r="ES54" s="930"/>
      <c r="ET54" s="930"/>
      <c r="EU54" s="930"/>
      <c r="EV54" s="930"/>
      <c r="EW54" s="930"/>
      <c r="EX54" s="930"/>
      <c r="EY54" s="930"/>
      <c r="EZ54" s="930"/>
      <c r="FA54" s="930"/>
      <c r="FB54" s="930"/>
      <c r="FC54" s="930"/>
      <c r="FD54" s="930"/>
      <c r="FE54" s="930"/>
      <c r="FF54" s="930"/>
      <c r="FG54" s="930"/>
      <c r="FH54" s="930"/>
      <c r="FI54" s="930"/>
      <c r="FJ54" s="930"/>
      <c r="FK54" s="930"/>
      <c r="FL54" s="930"/>
      <c r="FM54" s="930"/>
      <c r="FN54" s="930"/>
      <c r="FO54" s="930"/>
      <c r="FP54" s="930"/>
      <c r="FQ54" s="930"/>
      <c r="FR54" s="930"/>
      <c r="FS54" s="930"/>
      <c r="FT54" s="930"/>
      <c r="FU54" s="930"/>
      <c r="FV54" s="930"/>
      <c r="FW54" s="930"/>
      <c r="FX54" s="930"/>
      <c r="FY54" s="930"/>
      <c r="FZ54" s="930"/>
      <c r="GA54" s="930"/>
      <c r="GB54" s="930"/>
      <c r="GC54" s="930"/>
      <c r="GD54" s="930"/>
      <c r="GE54" s="930"/>
      <c r="GF54" s="930"/>
      <c r="GG54" s="930"/>
      <c r="GH54" s="930"/>
      <c r="GI54" s="930"/>
      <c r="GJ54" s="930"/>
      <c r="GK54" s="930"/>
      <c r="GL54" s="930"/>
      <c r="GM54" s="930"/>
      <c r="GN54" s="930"/>
      <c r="GO54" s="930"/>
      <c r="GP54" s="930"/>
      <c r="GQ54" s="930"/>
      <c r="GR54" s="930"/>
      <c r="GS54" s="930"/>
      <c r="GT54" s="930"/>
      <c r="GU54" s="930"/>
      <c r="GV54" s="930"/>
      <c r="GW54" s="930"/>
      <c r="GX54" s="930"/>
      <c r="GY54" s="930"/>
      <c r="GZ54" s="930"/>
      <c r="HA54" s="930"/>
      <c r="HB54" s="930"/>
      <c r="HC54" s="930"/>
      <c r="HD54" s="930"/>
      <c r="HE54" s="930"/>
      <c r="HF54" s="930"/>
      <c r="HG54" s="930"/>
      <c r="HH54" s="930"/>
      <c r="HI54" s="930"/>
      <c r="HJ54" s="930"/>
      <c r="HK54" s="930"/>
      <c r="HL54" s="930"/>
      <c r="HM54" s="930"/>
      <c r="HN54" s="930"/>
      <c r="HO54" s="930"/>
      <c r="HP54" s="930"/>
      <c r="HQ54" s="930"/>
      <c r="HR54" s="930"/>
      <c r="HS54" s="930"/>
      <c r="HT54" s="930"/>
      <c r="HU54" s="930"/>
      <c r="HV54" s="930"/>
      <c r="HW54" s="930"/>
      <c r="HX54" s="930"/>
      <c r="HY54" s="930"/>
      <c r="HZ54" s="930"/>
      <c r="IA54" s="930"/>
      <c r="IB54" s="930"/>
      <c r="IC54" s="930"/>
      <c r="ID54" s="930"/>
      <c r="IE54" s="930"/>
      <c r="IF54" s="930"/>
      <c r="IG54" s="930"/>
      <c r="IH54" s="930"/>
      <c r="II54" s="930"/>
      <c r="IJ54" s="930"/>
      <c r="IK54" s="930"/>
      <c r="IL54" s="930"/>
      <c r="IM54" s="930"/>
      <c r="IN54" s="930"/>
      <c r="IO54" s="930"/>
      <c r="IP54" s="930"/>
      <c r="IQ54" s="930"/>
      <c r="IR54" s="930"/>
      <c r="IS54" s="930"/>
      <c r="IT54" s="930"/>
      <c r="IU54" s="930"/>
      <c r="IV54" s="930"/>
    </row>
    <row r="55" spans="1:256">
      <c r="A55" s="935">
        <f t="shared" si="9"/>
        <v>34</v>
      </c>
      <c r="B55" s="931" t="s">
        <v>569</v>
      </c>
      <c r="C55" s="942">
        <f t="shared" si="10"/>
        <v>0</v>
      </c>
      <c r="D55" s="942">
        <f t="shared" si="11"/>
        <v>0</v>
      </c>
      <c r="E55" s="931">
        <v>31</v>
      </c>
      <c r="F55" s="869">
        <v>62</v>
      </c>
      <c r="G55" s="943">
        <f t="shared" si="6"/>
        <v>0.16986301369863013</v>
      </c>
      <c r="H55" s="942">
        <f t="shared" si="7"/>
        <v>0</v>
      </c>
      <c r="I55" s="942">
        <f t="shared" si="12"/>
        <v>0</v>
      </c>
      <c r="J55" s="930"/>
      <c r="K55" s="930"/>
      <c r="L55" s="930"/>
      <c r="M55" s="930"/>
      <c r="N55" s="930"/>
      <c r="O55" s="930"/>
      <c r="P55" s="930"/>
      <c r="Q55" s="930"/>
      <c r="R55" s="930"/>
      <c r="S55" s="930"/>
      <c r="T55" s="930"/>
      <c r="U55" s="930"/>
      <c r="V55" s="930"/>
      <c r="W55" s="930"/>
      <c r="X55" s="930"/>
      <c r="Y55" s="930"/>
      <c r="Z55" s="930"/>
      <c r="AA55" s="930"/>
      <c r="AB55" s="930"/>
      <c r="AC55" s="930"/>
      <c r="AD55" s="930"/>
      <c r="AE55" s="930"/>
      <c r="AF55" s="930"/>
      <c r="AG55" s="930"/>
      <c r="AH55" s="930"/>
      <c r="AI55" s="930"/>
      <c r="AJ55" s="930"/>
      <c r="AK55" s="930"/>
      <c r="AL55" s="930"/>
      <c r="AM55" s="930"/>
      <c r="AN55" s="930"/>
      <c r="AO55" s="930"/>
      <c r="AP55" s="930"/>
      <c r="AQ55" s="930"/>
      <c r="AR55" s="930"/>
      <c r="AS55" s="930"/>
      <c r="AT55" s="930"/>
      <c r="AU55" s="930"/>
      <c r="AV55" s="930"/>
      <c r="AW55" s="930"/>
      <c r="AX55" s="930"/>
      <c r="AY55" s="930"/>
      <c r="AZ55" s="930"/>
      <c r="BA55" s="930"/>
      <c r="BB55" s="930"/>
      <c r="BC55" s="930"/>
      <c r="BD55" s="930"/>
      <c r="BE55" s="930"/>
      <c r="BF55" s="930"/>
      <c r="BG55" s="930"/>
      <c r="BH55" s="930"/>
      <c r="BI55" s="930"/>
      <c r="BJ55" s="930"/>
      <c r="BK55" s="930"/>
      <c r="BL55" s="930"/>
      <c r="BM55" s="930"/>
      <c r="BN55" s="930"/>
      <c r="BO55" s="930"/>
      <c r="BP55" s="930"/>
      <c r="BQ55" s="930"/>
      <c r="BR55" s="930"/>
      <c r="BS55" s="930"/>
      <c r="BT55" s="930"/>
      <c r="BU55" s="930"/>
      <c r="BV55" s="930"/>
      <c r="BW55" s="930"/>
      <c r="BX55" s="930"/>
      <c r="BY55" s="930"/>
      <c r="BZ55" s="930"/>
      <c r="CA55" s="930"/>
      <c r="CB55" s="930"/>
      <c r="CC55" s="930"/>
      <c r="CD55" s="930"/>
      <c r="CE55" s="930"/>
      <c r="CF55" s="930"/>
      <c r="CG55" s="930"/>
      <c r="CH55" s="930"/>
      <c r="CI55" s="930"/>
      <c r="CJ55" s="930"/>
      <c r="CK55" s="930"/>
      <c r="CL55" s="930"/>
      <c r="CM55" s="930"/>
      <c r="CN55" s="930"/>
      <c r="CO55" s="930"/>
      <c r="CP55" s="930"/>
      <c r="CQ55" s="930"/>
      <c r="CR55" s="930"/>
      <c r="CS55" s="930"/>
      <c r="CT55" s="930"/>
      <c r="CU55" s="930"/>
      <c r="CV55" s="930"/>
      <c r="CW55" s="930"/>
      <c r="CX55" s="930"/>
      <c r="CY55" s="930"/>
      <c r="CZ55" s="930"/>
      <c r="DA55" s="930"/>
      <c r="DB55" s="930"/>
      <c r="DC55" s="930"/>
      <c r="DD55" s="930"/>
      <c r="DE55" s="930"/>
      <c r="DF55" s="930"/>
      <c r="DG55" s="930"/>
      <c r="DH55" s="930"/>
      <c r="DI55" s="930"/>
      <c r="DJ55" s="930"/>
      <c r="DK55" s="930"/>
      <c r="DL55" s="930"/>
      <c r="DM55" s="930"/>
      <c r="DN55" s="930"/>
      <c r="DO55" s="930"/>
      <c r="DP55" s="930"/>
      <c r="DQ55" s="930"/>
      <c r="DR55" s="930"/>
      <c r="DS55" s="930"/>
      <c r="DT55" s="930"/>
      <c r="DU55" s="930"/>
      <c r="DV55" s="930"/>
      <c r="DW55" s="930"/>
      <c r="DX55" s="930"/>
      <c r="DY55" s="930"/>
      <c r="DZ55" s="930"/>
      <c r="EA55" s="930"/>
      <c r="EB55" s="930"/>
      <c r="EC55" s="930"/>
      <c r="ED55" s="930"/>
      <c r="EE55" s="930"/>
      <c r="EF55" s="930"/>
      <c r="EG55" s="930"/>
      <c r="EH55" s="930"/>
      <c r="EI55" s="930"/>
      <c r="EJ55" s="930"/>
      <c r="EK55" s="930"/>
      <c r="EL55" s="930"/>
      <c r="EM55" s="930"/>
      <c r="EN55" s="930"/>
      <c r="EO55" s="930"/>
      <c r="EP55" s="930"/>
      <c r="EQ55" s="930"/>
      <c r="ER55" s="930"/>
      <c r="ES55" s="930"/>
      <c r="ET55" s="930"/>
      <c r="EU55" s="930"/>
      <c r="EV55" s="930"/>
      <c r="EW55" s="930"/>
      <c r="EX55" s="930"/>
      <c r="EY55" s="930"/>
      <c r="EZ55" s="930"/>
      <c r="FA55" s="930"/>
      <c r="FB55" s="930"/>
      <c r="FC55" s="930"/>
      <c r="FD55" s="930"/>
      <c r="FE55" s="930"/>
      <c r="FF55" s="930"/>
      <c r="FG55" s="930"/>
      <c r="FH55" s="930"/>
      <c r="FI55" s="930"/>
      <c r="FJ55" s="930"/>
      <c r="FK55" s="930"/>
      <c r="FL55" s="930"/>
      <c r="FM55" s="930"/>
      <c r="FN55" s="930"/>
      <c r="FO55" s="930"/>
      <c r="FP55" s="930"/>
      <c r="FQ55" s="930"/>
      <c r="FR55" s="930"/>
      <c r="FS55" s="930"/>
      <c r="FT55" s="930"/>
      <c r="FU55" s="930"/>
      <c r="FV55" s="930"/>
      <c r="FW55" s="930"/>
      <c r="FX55" s="930"/>
      <c r="FY55" s="930"/>
      <c r="FZ55" s="930"/>
      <c r="GA55" s="930"/>
      <c r="GB55" s="930"/>
      <c r="GC55" s="930"/>
      <c r="GD55" s="930"/>
      <c r="GE55" s="930"/>
      <c r="GF55" s="930"/>
      <c r="GG55" s="930"/>
      <c r="GH55" s="930"/>
      <c r="GI55" s="930"/>
      <c r="GJ55" s="930"/>
      <c r="GK55" s="930"/>
      <c r="GL55" s="930"/>
      <c r="GM55" s="930"/>
      <c r="GN55" s="930"/>
      <c r="GO55" s="930"/>
      <c r="GP55" s="930"/>
      <c r="GQ55" s="930"/>
      <c r="GR55" s="930"/>
      <c r="GS55" s="930"/>
      <c r="GT55" s="930"/>
      <c r="GU55" s="930"/>
      <c r="GV55" s="930"/>
      <c r="GW55" s="930"/>
      <c r="GX55" s="930"/>
      <c r="GY55" s="930"/>
      <c r="GZ55" s="930"/>
      <c r="HA55" s="930"/>
      <c r="HB55" s="930"/>
      <c r="HC55" s="930"/>
      <c r="HD55" s="930"/>
      <c r="HE55" s="930"/>
      <c r="HF55" s="930"/>
      <c r="HG55" s="930"/>
      <c r="HH55" s="930"/>
      <c r="HI55" s="930"/>
      <c r="HJ55" s="930"/>
      <c r="HK55" s="930"/>
      <c r="HL55" s="930"/>
      <c r="HM55" s="930"/>
      <c r="HN55" s="930"/>
      <c r="HO55" s="930"/>
      <c r="HP55" s="930"/>
      <c r="HQ55" s="930"/>
      <c r="HR55" s="930"/>
      <c r="HS55" s="930"/>
      <c r="HT55" s="930"/>
      <c r="HU55" s="930"/>
      <c r="HV55" s="930"/>
      <c r="HW55" s="930"/>
      <c r="HX55" s="930"/>
      <c r="HY55" s="930"/>
      <c r="HZ55" s="930"/>
      <c r="IA55" s="930"/>
      <c r="IB55" s="930"/>
      <c r="IC55" s="930"/>
      <c r="ID55" s="930"/>
      <c r="IE55" s="930"/>
      <c r="IF55" s="930"/>
      <c r="IG55" s="930"/>
      <c r="IH55" s="930"/>
      <c r="II55" s="930"/>
      <c r="IJ55" s="930"/>
      <c r="IK55" s="930"/>
      <c r="IL55" s="930"/>
      <c r="IM55" s="930"/>
      <c r="IN55" s="930"/>
      <c r="IO55" s="930"/>
      <c r="IP55" s="930"/>
      <c r="IQ55" s="930"/>
      <c r="IR55" s="930"/>
      <c r="IS55" s="930"/>
      <c r="IT55" s="930"/>
      <c r="IU55" s="930"/>
      <c r="IV55" s="930"/>
    </row>
    <row r="56" spans="1:256">
      <c r="A56" s="935">
        <f t="shared" si="9"/>
        <v>35</v>
      </c>
      <c r="B56" s="931" t="s">
        <v>570</v>
      </c>
      <c r="C56" s="942">
        <f t="shared" si="10"/>
        <v>0</v>
      </c>
      <c r="D56" s="942">
        <f t="shared" si="11"/>
        <v>0</v>
      </c>
      <c r="E56" s="931">
        <v>30</v>
      </c>
      <c r="F56" s="869">
        <v>32</v>
      </c>
      <c r="G56" s="943">
        <f t="shared" si="6"/>
        <v>8.7671232876712329E-2</v>
      </c>
      <c r="H56" s="942">
        <f t="shared" si="7"/>
        <v>0</v>
      </c>
      <c r="I56" s="942">
        <f t="shared" si="12"/>
        <v>0</v>
      </c>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0"/>
      <c r="AY56" s="930"/>
      <c r="AZ56" s="930"/>
      <c r="BA56" s="930"/>
      <c r="BB56" s="930"/>
      <c r="BC56" s="930"/>
      <c r="BD56" s="930"/>
      <c r="BE56" s="930"/>
      <c r="BF56" s="930"/>
      <c r="BG56" s="930"/>
      <c r="BH56" s="930"/>
      <c r="BI56" s="930"/>
      <c r="BJ56" s="930"/>
      <c r="BK56" s="930"/>
      <c r="BL56" s="930"/>
      <c r="BM56" s="930"/>
      <c r="BN56" s="930"/>
      <c r="BO56" s="930"/>
      <c r="BP56" s="930"/>
      <c r="BQ56" s="930"/>
      <c r="BR56" s="930"/>
      <c r="BS56" s="930"/>
      <c r="BT56" s="930"/>
      <c r="BU56" s="930"/>
      <c r="BV56" s="930"/>
      <c r="BW56" s="930"/>
      <c r="BX56" s="930"/>
      <c r="BY56" s="930"/>
      <c r="BZ56" s="930"/>
      <c r="CA56" s="930"/>
      <c r="CB56" s="930"/>
      <c r="CC56" s="930"/>
      <c r="CD56" s="930"/>
      <c r="CE56" s="930"/>
      <c r="CF56" s="930"/>
      <c r="CG56" s="930"/>
      <c r="CH56" s="930"/>
      <c r="CI56" s="930"/>
      <c r="CJ56" s="930"/>
      <c r="CK56" s="930"/>
      <c r="CL56" s="930"/>
      <c r="CM56" s="930"/>
      <c r="CN56" s="930"/>
      <c r="CO56" s="930"/>
      <c r="CP56" s="930"/>
      <c r="CQ56" s="930"/>
      <c r="CR56" s="930"/>
      <c r="CS56" s="930"/>
      <c r="CT56" s="930"/>
      <c r="CU56" s="930"/>
      <c r="CV56" s="930"/>
      <c r="CW56" s="930"/>
      <c r="CX56" s="930"/>
      <c r="CY56" s="930"/>
      <c r="CZ56" s="930"/>
      <c r="DA56" s="930"/>
      <c r="DB56" s="930"/>
      <c r="DC56" s="930"/>
      <c r="DD56" s="930"/>
      <c r="DE56" s="930"/>
      <c r="DF56" s="930"/>
      <c r="DG56" s="930"/>
      <c r="DH56" s="930"/>
      <c r="DI56" s="930"/>
      <c r="DJ56" s="930"/>
      <c r="DK56" s="930"/>
      <c r="DL56" s="930"/>
      <c r="DM56" s="930"/>
      <c r="DN56" s="930"/>
      <c r="DO56" s="930"/>
      <c r="DP56" s="930"/>
      <c r="DQ56" s="930"/>
      <c r="DR56" s="930"/>
      <c r="DS56" s="930"/>
      <c r="DT56" s="930"/>
      <c r="DU56" s="930"/>
      <c r="DV56" s="930"/>
      <c r="DW56" s="930"/>
      <c r="DX56" s="930"/>
      <c r="DY56" s="930"/>
      <c r="DZ56" s="930"/>
      <c r="EA56" s="930"/>
      <c r="EB56" s="930"/>
      <c r="EC56" s="930"/>
      <c r="ED56" s="930"/>
      <c r="EE56" s="930"/>
      <c r="EF56" s="930"/>
      <c r="EG56" s="930"/>
      <c r="EH56" s="930"/>
      <c r="EI56" s="930"/>
      <c r="EJ56" s="930"/>
      <c r="EK56" s="930"/>
      <c r="EL56" s="930"/>
      <c r="EM56" s="930"/>
      <c r="EN56" s="930"/>
      <c r="EO56" s="930"/>
      <c r="EP56" s="930"/>
      <c r="EQ56" s="930"/>
      <c r="ER56" s="930"/>
      <c r="ES56" s="930"/>
      <c r="ET56" s="930"/>
      <c r="EU56" s="930"/>
      <c r="EV56" s="930"/>
      <c r="EW56" s="930"/>
      <c r="EX56" s="930"/>
      <c r="EY56" s="930"/>
      <c r="EZ56" s="930"/>
      <c r="FA56" s="930"/>
      <c r="FB56" s="930"/>
      <c r="FC56" s="930"/>
      <c r="FD56" s="930"/>
      <c r="FE56" s="930"/>
      <c r="FF56" s="930"/>
      <c r="FG56" s="930"/>
      <c r="FH56" s="930"/>
      <c r="FI56" s="930"/>
      <c r="FJ56" s="930"/>
      <c r="FK56" s="930"/>
      <c r="FL56" s="930"/>
      <c r="FM56" s="930"/>
      <c r="FN56" s="930"/>
      <c r="FO56" s="930"/>
      <c r="FP56" s="930"/>
      <c r="FQ56" s="930"/>
      <c r="FR56" s="930"/>
      <c r="FS56" s="930"/>
      <c r="FT56" s="930"/>
      <c r="FU56" s="930"/>
      <c r="FV56" s="930"/>
      <c r="FW56" s="930"/>
      <c r="FX56" s="930"/>
      <c r="FY56" s="930"/>
      <c r="FZ56" s="930"/>
      <c r="GA56" s="930"/>
      <c r="GB56" s="930"/>
      <c r="GC56" s="930"/>
      <c r="GD56" s="930"/>
      <c r="GE56" s="930"/>
      <c r="GF56" s="930"/>
      <c r="GG56" s="930"/>
      <c r="GH56" s="930"/>
      <c r="GI56" s="930"/>
      <c r="GJ56" s="930"/>
      <c r="GK56" s="930"/>
      <c r="GL56" s="930"/>
      <c r="GM56" s="930"/>
      <c r="GN56" s="930"/>
      <c r="GO56" s="930"/>
      <c r="GP56" s="930"/>
      <c r="GQ56" s="930"/>
      <c r="GR56" s="930"/>
      <c r="GS56" s="930"/>
      <c r="GT56" s="930"/>
      <c r="GU56" s="930"/>
      <c r="GV56" s="930"/>
      <c r="GW56" s="930"/>
      <c r="GX56" s="930"/>
      <c r="GY56" s="930"/>
      <c r="GZ56" s="930"/>
      <c r="HA56" s="930"/>
      <c r="HB56" s="930"/>
      <c r="HC56" s="930"/>
      <c r="HD56" s="930"/>
      <c r="HE56" s="930"/>
      <c r="HF56" s="930"/>
      <c r="HG56" s="930"/>
      <c r="HH56" s="930"/>
      <c r="HI56" s="930"/>
      <c r="HJ56" s="930"/>
      <c r="HK56" s="930"/>
      <c r="HL56" s="930"/>
      <c r="HM56" s="930"/>
      <c r="HN56" s="930"/>
      <c r="HO56" s="930"/>
      <c r="HP56" s="930"/>
      <c r="HQ56" s="930"/>
      <c r="HR56" s="930"/>
      <c r="HS56" s="930"/>
      <c r="HT56" s="930"/>
      <c r="HU56" s="930"/>
      <c r="HV56" s="930"/>
      <c r="HW56" s="930"/>
      <c r="HX56" s="930"/>
      <c r="HY56" s="930"/>
      <c r="HZ56" s="930"/>
      <c r="IA56" s="930"/>
      <c r="IB56" s="930"/>
      <c r="IC56" s="930"/>
      <c r="ID56" s="930"/>
      <c r="IE56" s="930"/>
      <c r="IF56" s="930"/>
      <c r="IG56" s="930"/>
      <c r="IH56" s="930"/>
      <c r="II56" s="930"/>
      <c r="IJ56" s="930"/>
      <c r="IK56" s="930"/>
      <c r="IL56" s="930"/>
      <c r="IM56" s="930"/>
      <c r="IN56" s="930"/>
      <c r="IO56" s="930"/>
      <c r="IP56" s="930"/>
      <c r="IQ56" s="930"/>
      <c r="IR56" s="930"/>
      <c r="IS56" s="930"/>
      <c r="IT56" s="930"/>
      <c r="IU56" s="930"/>
      <c r="IV56" s="930"/>
    </row>
    <row r="57" spans="1:256">
      <c r="A57" s="935">
        <f t="shared" si="9"/>
        <v>36</v>
      </c>
      <c r="B57" s="931" t="s">
        <v>365</v>
      </c>
      <c r="C57" s="942">
        <f t="shared" si="10"/>
        <v>0</v>
      </c>
      <c r="D57" s="942">
        <f t="shared" si="11"/>
        <v>0</v>
      </c>
      <c r="E57" s="931">
        <v>31</v>
      </c>
      <c r="F57" s="869">
        <f>F56-E57</f>
        <v>1</v>
      </c>
      <c r="G57" s="943">
        <f t="shared" si="6"/>
        <v>2.7397260273972603E-3</v>
      </c>
      <c r="H57" s="942">
        <f t="shared" si="7"/>
        <v>0</v>
      </c>
      <c r="I57" s="942">
        <f t="shared" si="12"/>
        <v>0</v>
      </c>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0"/>
      <c r="AY57" s="930"/>
      <c r="AZ57" s="930"/>
      <c r="BA57" s="930"/>
      <c r="BB57" s="930"/>
      <c r="BC57" s="930"/>
      <c r="BD57" s="930"/>
      <c r="BE57" s="930"/>
      <c r="BF57" s="930"/>
      <c r="BG57" s="930"/>
      <c r="BH57" s="930"/>
      <c r="BI57" s="930"/>
      <c r="BJ57" s="930"/>
      <c r="BK57" s="930"/>
      <c r="BL57" s="930"/>
      <c r="BM57" s="930"/>
      <c r="BN57" s="930"/>
      <c r="BO57" s="930"/>
      <c r="BP57" s="930"/>
      <c r="BQ57" s="930"/>
      <c r="BR57" s="930"/>
      <c r="BS57" s="930"/>
      <c r="BT57" s="930"/>
      <c r="BU57" s="930"/>
      <c r="BV57" s="930"/>
      <c r="BW57" s="930"/>
      <c r="BX57" s="930"/>
      <c r="BY57" s="930"/>
      <c r="BZ57" s="930"/>
      <c r="CA57" s="930"/>
      <c r="CB57" s="930"/>
      <c r="CC57" s="930"/>
      <c r="CD57" s="930"/>
      <c r="CE57" s="930"/>
      <c r="CF57" s="930"/>
      <c r="CG57" s="930"/>
      <c r="CH57" s="930"/>
      <c r="CI57" s="930"/>
      <c r="CJ57" s="930"/>
      <c r="CK57" s="930"/>
      <c r="CL57" s="930"/>
      <c r="CM57" s="930"/>
      <c r="CN57" s="930"/>
      <c r="CO57" s="930"/>
      <c r="CP57" s="930"/>
      <c r="CQ57" s="930"/>
      <c r="CR57" s="930"/>
      <c r="CS57" s="930"/>
      <c r="CT57" s="930"/>
      <c r="CU57" s="930"/>
      <c r="CV57" s="930"/>
      <c r="CW57" s="930"/>
      <c r="CX57" s="930"/>
      <c r="CY57" s="930"/>
      <c r="CZ57" s="930"/>
      <c r="DA57" s="930"/>
      <c r="DB57" s="930"/>
      <c r="DC57" s="930"/>
      <c r="DD57" s="930"/>
      <c r="DE57" s="930"/>
      <c r="DF57" s="930"/>
      <c r="DG57" s="930"/>
      <c r="DH57" s="930"/>
      <c r="DI57" s="930"/>
      <c r="DJ57" s="930"/>
      <c r="DK57" s="930"/>
      <c r="DL57" s="930"/>
      <c r="DM57" s="930"/>
      <c r="DN57" s="930"/>
      <c r="DO57" s="930"/>
      <c r="DP57" s="930"/>
      <c r="DQ57" s="930"/>
      <c r="DR57" s="930"/>
      <c r="DS57" s="930"/>
      <c r="DT57" s="930"/>
      <c r="DU57" s="930"/>
      <c r="DV57" s="930"/>
      <c r="DW57" s="930"/>
      <c r="DX57" s="930"/>
      <c r="DY57" s="930"/>
      <c r="DZ57" s="930"/>
      <c r="EA57" s="930"/>
      <c r="EB57" s="930"/>
      <c r="EC57" s="930"/>
      <c r="ED57" s="930"/>
      <c r="EE57" s="930"/>
      <c r="EF57" s="930"/>
      <c r="EG57" s="930"/>
      <c r="EH57" s="930"/>
      <c r="EI57" s="930"/>
      <c r="EJ57" s="930"/>
      <c r="EK57" s="930"/>
      <c r="EL57" s="930"/>
      <c r="EM57" s="930"/>
      <c r="EN57" s="930"/>
      <c r="EO57" s="930"/>
      <c r="EP57" s="930"/>
      <c r="EQ57" s="930"/>
      <c r="ER57" s="930"/>
      <c r="ES57" s="930"/>
      <c r="ET57" s="930"/>
      <c r="EU57" s="930"/>
      <c r="EV57" s="930"/>
      <c r="EW57" s="930"/>
      <c r="EX57" s="930"/>
      <c r="EY57" s="930"/>
      <c r="EZ57" s="930"/>
      <c r="FA57" s="930"/>
      <c r="FB57" s="930"/>
      <c r="FC57" s="930"/>
      <c r="FD57" s="930"/>
      <c r="FE57" s="930"/>
      <c r="FF57" s="930"/>
      <c r="FG57" s="930"/>
      <c r="FH57" s="930"/>
      <c r="FI57" s="930"/>
      <c r="FJ57" s="930"/>
      <c r="FK57" s="930"/>
      <c r="FL57" s="930"/>
      <c r="FM57" s="930"/>
      <c r="FN57" s="930"/>
      <c r="FO57" s="930"/>
      <c r="FP57" s="930"/>
      <c r="FQ57" s="930"/>
      <c r="FR57" s="930"/>
      <c r="FS57" s="930"/>
      <c r="FT57" s="930"/>
      <c r="FU57" s="930"/>
      <c r="FV57" s="930"/>
      <c r="FW57" s="930"/>
      <c r="FX57" s="930"/>
      <c r="FY57" s="930"/>
      <c r="FZ57" s="930"/>
      <c r="GA57" s="930"/>
      <c r="GB57" s="930"/>
      <c r="GC57" s="930"/>
      <c r="GD57" s="930"/>
      <c r="GE57" s="930"/>
      <c r="GF57" s="930"/>
      <c r="GG57" s="930"/>
      <c r="GH57" s="930"/>
      <c r="GI57" s="930"/>
      <c r="GJ57" s="930"/>
      <c r="GK57" s="930"/>
      <c r="GL57" s="930"/>
      <c r="GM57" s="930"/>
      <c r="GN57" s="930"/>
      <c r="GO57" s="930"/>
      <c r="GP57" s="930"/>
      <c r="GQ57" s="930"/>
      <c r="GR57" s="930"/>
      <c r="GS57" s="930"/>
      <c r="GT57" s="930"/>
      <c r="GU57" s="930"/>
      <c r="GV57" s="930"/>
      <c r="GW57" s="930"/>
      <c r="GX57" s="930"/>
      <c r="GY57" s="930"/>
      <c r="GZ57" s="930"/>
      <c r="HA57" s="930"/>
      <c r="HB57" s="930"/>
      <c r="HC57" s="930"/>
      <c r="HD57" s="930"/>
      <c r="HE57" s="930"/>
      <c r="HF57" s="930"/>
      <c r="HG57" s="930"/>
      <c r="HH57" s="930"/>
      <c r="HI57" s="930"/>
      <c r="HJ57" s="930"/>
      <c r="HK57" s="930"/>
      <c r="HL57" s="930"/>
      <c r="HM57" s="930"/>
      <c r="HN57" s="930"/>
      <c r="HO57" s="930"/>
      <c r="HP57" s="930"/>
      <c r="HQ57" s="930"/>
      <c r="HR57" s="930"/>
      <c r="HS57" s="930"/>
      <c r="HT57" s="930"/>
      <c r="HU57" s="930"/>
      <c r="HV57" s="930"/>
      <c r="HW57" s="930"/>
      <c r="HX57" s="930"/>
      <c r="HY57" s="930"/>
      <c r="HZ57" s="930"/>
      <c r="IA57" s="930"/>
      <c r="IB57" s="930"/>
      <c r="IC57" s="930"/>
      <c r="ID57" s="930"/>
      <c r="IE57" s="930"/>
      <c r="IF57" s="930"/>
      <c r="IG57" s="930"/>
      <c r="IH57" s="930"/>
      <c r="II57" s="930"/>
      <c r="IJ57" s="930"/>
      <c r="IK57" s="930"/>
      <c r="IL57" s="930"/>
      <c r="IM57" s="930"/>
      <c r="IN57" s="930"/>
      <c r="IO57" s="930"/>
      <c r="IP57" s="930"/>
      <c r="IQ57" s="930"/>
      <c r="IR57" s="930"/>
      <c r="IS57" s="930"/>
      <c r="IT57" s="930"/>
      <c r="IU57" s="930"/>
      <c r="IV57" s="930"/>
    </row>
    <row r="58" spans="1:256">
      <c r="A58" s="935"/>
      <c r="B58" s="931"/>
      <c r="C58" s="944"/>
      <c r="D58" s="944"/>
      <c r="E58" s="931"/>
      <c r="F58" s="931"/>
      <c r="G58" s="931"/>
      <c r="H58" s="944"/>
      <c r="I58" s="944"/>
      <c r="J58" s="930"/>
      <c r="K58" s="930"/>
      <c r="L58" s="930"/>
      <c r="M58" s="930"/>
      <c r="N58" s="930"/>
      <c r="O58" s="930"/>
      <c r="P58" s="930"/>
      <c r="Q58" s="930"/>
      <c r="R58" s="930"/>
      <c r="S58" s="930"/>
      <c r="T58" s="930"/>
      <c r="U58" s="930"/>
      <c r="V58" s="930"/>
      <c r="W58" s="930"/>
      <c r="X58" s="930"/>
      <c r="Y58" s="930"/>
      <c r="Z58" s="930"/>
      <c r="AA58" s="930"/>
      <c r="AB58" s="930"/>
      <c r="AC58" s="930"/>
      <c r="AD58" s="930"/>
      <c r="AE58" s="930"/>
      <c r="AF58" s="930"/>
      <c r="AG58" s="930"/>
      <c r="AH58" s="930"/>
      <c r="AI58" s="930"/>
      <c r="AJ58" s="930"/>
      <c r="AK58" s="930"/>
      <c r="AL58" s="930"/>
      <c r="AM58" s="930"/>
      <c r="AN58" s="930"/>
      <c r="AO58" s="930"/>
      <c r="AP58" s="930"/>
      <c r="AQ58" s="930"/>
      <c r="AR58" s="930"/>
      <c r="AS58" s="930"/>
      <c r="AT58" s="930"/>
      <c r="AU58" s="930"/>
      <c r="AV58" s="930"/>
      <c r="AW58" s="930"/>
      <c r="AX58" s="930"/>
      <c r="AY58" s="930"/>
      <c r="AZ58" s="930"/>
      <c r="BA58" s="930"/>
      <c r="BB58" s="930"/>
      <c r="BC58" s="930"/>
      <c r="BD58" s="930"/>
      <c r="BE58" s="930"/>
      <c r="BF58" s="930"/>
      <c r="BG58" s="930"/>
      <c r="BH58" s="930"/>
      <c r="BI58" s="930"/>
      <c r="BJ58" s="930"/>
      <c r="BK58" s="930"/>
      <c r="BL58" s="930"/>
      <c r="BM58" s="930"/>
      <c r="BN58" s="930"/>
      <c r="BO58" s="930"/>
      <c r="BP58" s="930"/>
      <c r="BQ58" s="930"/>
      <c r="BR58" s="930"/>
      <c r="BS58" s="930"/>
      <c r="BT58" s="930"/>
      <c r="BU58" s="930"/>
      <c r="BV58" s="930"/>
      <c r="BW58" s="930"/>
      <c r="BX58" s="930"/>
      <c r="BY58" s="930"/>
      <c r="BZ58" s="930"/>
      <c r="CA58" s="930"/>
      <c r="CB58" s="930"/>
      <c r="CC58" s="930"/>
      <c r="CD58" s="930"/>
      <c r="CE58" s="930"/>
      <c r="CF58" s="930"/>
      <c r="CG58" s="930"/>
      <c r="CH58" s="930"/>
      <c r="CI58" s="930"/>
      <c r="CJ58" s="930"/>
      <c r="CK58" s="930"/>
      <c r="CL58" s="930"/>
      <c r="CM58" s="930"/>
      <c r="CN58" s="930"/>
      <c r="CO58" s="930"/>
      <c r="CP58" s="930"/>
      <c r="CQ58" s="930"/>
      <c r="CR58" s="930"/>
      <c r="CS58" s="930"/>
      <c r="CT58" s="930"/>
      <c r="CU58" s="930"/>
      <c r="CV58" s="930"/>
      <c r="CW58" s="930"/>
      <c r="CX58" s="930"/>
      <c r="CY58" s="930"/>
      <c r="CZ58" s="930"/>
      <c r="DA58" s="930"/>
      <c r="DB58" s="930"/>
      <c r="DC58" s="930"/>
      <c r="DD58" s="930"/>
      <c r="DE58" s="930"/>
      <c r="DF58" s="930"/>
      <c r="DG58" s="930"/>
      <c r="DH58" s="930"/>
      <c r="DI58" s="930"/>
      <c r="DJ58" s="930"/>
      <c r="DK58" s="930"/>
      <c r="DL58" s="930"/>
      <c r="DM58" s="930"/>
      <c r="DN58" s="930"/>
      <c r="DO58" s="930"/>
      <c r="DP58" s="930"/>
      <c r="DQ58" s="930"/>
      <c r="DR58" s="930"/>
      <c r="DS58" s="930"/>
      <c r="DT58" s="930"/>
      <c r="DU58" s="930"/>
      <c r="DV58" s="930"/>
      <c r="DW58" s="930"/>
      <c r="DX58" s="930"/>
      <c r="DY58" s="930"/>
      <c r="DZ58" s="930"/>
      <c r="EA58" s="930"/>
      <c r="EB58" s="930"/>
      <c r="EC58" s="930"/>
      <c r="ED58" s="930"/>
      <c r="EE58" s="930"/>
      <c r="EF58" s="930"/>
      <c r="EG58" s="930"/>
      <c r="EH58" s="930"/>
      <c r="EI58" s="930"/>
      <c r="EJ58" s="930"/>
      <c r="EK58" s="930"/>
      <c r="EL58" s="930"/>
      <c r="EM58" s="930"/>
      <c r="EN58" s="930"/>
      <c r="EO58" s="930"/>
      <c r="EP58" s="930"/>
      <c r="EQ58" s="930"/>
      <c r="ER58" s="930"/>
      <c r="ES58" s="930"/>
      <c r="ET58" s="930"/>
      <c r="EU58" s="930"/>
      <c r="EV58" s="930"/>
      <c r="EW58" s="930"/>
      <c r="EX58" s="930"/>
      <c r="EY58" s="930"/>
      <c r="EZ58" s="930"/>
      <c r="FA58" s="930"/>
      <c r="FB58" s="930"/>
      <c r="FC58" s="930"/>
      <c r="FD58" s="930"/>
      <c r="FE58" s="930"/>
      <c r="FF58" s="930"/>
      <c r="FG58" s="930"/>
      <c r="FH58" s="930"/>
      <c r="FI58" s="930"/>
      <c r="FJ58" s="930"/>
      <c r="FK58" s="930"/>
      <c r="FL58" s="930"/>
      <c r="FM58" s="930"/>
      <c r="FN58" s="930"/>
      <c r="FO58" s="930"/>
      <c r="FP58" s="930"/>
      <c r="FQ58" s="930"/>
      <c r="FR58" s="930"/>
      <c r="FS58" s="930"/>
      <c r="FT58" s="930"/>
      <c r="FU58" s="930"/>
      <c r="FV58" s="930"/>
      <c r="FW58" s="930"/>
      <c r="FX58" s="930"/>
      <c r="FY58" s="930"/>
      <c r="FZ58" s="930"/>
      <c r="GA58" s="930"/>
      <c r="GB58" s="930"/>
      <c r="GC58" s="930"/>
      <c r="GD58" s="930"/>
      <c r="GE58" s="930"/>
      <c r="GF58" s="930"/>
      <c r="GG58" s="930"/>
      <c r="GH58" s="930"/>
      <c r="GI58" s="930"/>
      <c r="GJ58" s="930"/>
      <c r="GK58" s="930"/>
      <c r="GL58" s="930"/>
      <c r="GM58" s="930"/>
      <c r="GN58" s="930"/>
      <c r="GO58" s="930"/>
      <c r="GP58" s="930"/>
      <c r="GQ58" s="930"/>
      <c r="GR58" s="930"/>
      <c r="GS58" s="930"/>
      <c r="GT58" s="930"/>
      <c r="GU58" s="930"/>
      <c r="GV58" s="930"/>
      <c r="GW58" s="930"/>
      <c r="GX58" s="930"/>
      <c r="GY58" s="930"/>
      <c r="GZ58" s="930"/>
      <c r="HA58" s="930"/>
      <c r="HB58" s="930"/>
      <c r="HC58" s="930"/>
      <c r="HD58" s="930"/>
      <c r="HE58" s="930"/>
      <c r="HF58" s="930"/>
      <c r="HG58" s="930"/>
      <c r="HH58" s="930"/>
      <c r="HI58" s="930"/>
      <c r="HJ58" s="930"/>
      <c r="HK58" s="930"/>
      <c r="HL58" s="930"/>
      <c r="HM58" s="930"/>
      <c r="HN58" s="930"/>
      <c r="HO58" s="930"/>
      <c r="HP58" s="930"/>
      <c r="HQ58" s="930"/>
      <c r="HR58" s="930"/>
      <c r="HS58" s="930"/>
      <c r="HT58" s="930"/>
      <c r="HU58" s="930"/>
      <c r="HV58" s="930"/>
      <c r="HW58" s="930"/>
      <c r="HX58" s="930"/>
      <c r="HY58" s="930"/>
      <c r="HZ58" s="930"/>
      <c r="IA58" s="930"/>
      <c r="IB58" s="930"/>
      <c r="IC58" s="930"/>
      <c r="ID58" s="930"/>
      <c r="IE58" s="930"/>
      <c r="IF58" s="930"/>
      <c r="IG58" s="930"/>
      <c r="IH58" s="930"/>
      <c r="II58" s="930"/>
      <c r="IJ58" s="930"/>
      <c r="IK58" s="930"/>
      <c r="IL58" s="930"/>
      <c r="IM58" s="930"/>
      <c r="IN58" s="930"/>
      <c r="IO58" s="930"/>
      <c r="IP58" s="930"/>
      <c r="IQ58" s="930"/>
      <c r="IR58" s="930"/>
      <c r="IS58" s="930"/>
      <c r="IT58" s="930"/>
      <c r="IU58" s="930"/>
      <c r="IV58" s="930"/>
    </row>
    <row r="59" spans="1:256">
      <c r="A59" s="935">
        <f>+A57+1</f>
        <v>37</v>
      </c>
      <c r="B59" s="931" t="s">
        <v>571</v>
      </c>
      <c r="C59" s="944"/>
      <c r="D59" s="942">
        <f>+D57</f>
        <v>0</v>
      </c>
      <c r="E59" s="931"/>
      <c r="F59" s="931"/>
      <c r="G59" s="931"/>
      <c r="H59" s="944"/>
      <c r="I59" s="942">
        <f>+I57</f>
        <v>0</v>
      </c>
      <c r="J59" s="930"/>
      <c r="K59" s="930"/>
      <c r="L59" s="930"/>
      <c r="M59" s="930"/>
      <c r="N59" s="930"/>
      <c r="O59" s="930"/>
      <c r="P59" s="930"/>
      <c r="Q59" s="930"/>
      <c r="R59" s="930"/>
      <c r="S59" s="930"/>
      <c r="T59" s="930"/>
      <c r="U59" s="930"/>
      <c r="V59" s="930"/>
      <c r="W59" s="930"/>
      <c r="X59" s="930"/>
      <c r="Y59" s="930"/>
      <c r="Z59" s="930"/>
      <c r="AA59" s="930"/>
      <c r="AB59" s="930"/>
      <c r="AC59" s="930"/>
      <c r="AD59" s="930"/>
      <c r="AE59" s="930"/>
      <c r="AF59" s="930"/>
      <c r="AG59" s="930"/>
      <c r="AH59" s="930"/>
      <c r="AI59" s="930"/>
      <c r="AJ59" s="930"/>
      <c r="AK59" s="930"/>
      <c r="AL59" s="930"/>
      <c r="AM59" s="930"/>
      <c r="AN59" s="930"/>
      <c r="AO59" s="930"/>
      <c r="AP59" s="930"/>
      <c r="AQ59" s="930"/>
      <c r="AR59" s="930"/>
      <c r="AS59" s="930"/>
      <c r="AT59" s="930"/>
      <c r="AU59" s="930"/>
      <c r="AV59" s="930"/>
      <c r="AW59" s="930"/>
      <c r="AX59" s="930"/>
      <c r="AY59" s="930"/>
      <c r="AZ59" s="930"/>
      <c r="BA59" s="930"/>
      <c r="BB59" s="930"/>
      <c r="BC59" s="930"/>
      <c r="BD59" s="930"/>
      <c r="BE59" s="930"/>
      <c r="BF59" s="930"/>
      <c r="BG59" s="930"/>
      <c r="BH59" s="930"/>
      <c r="BI59" s="930"/>
      <c r="BJ59" s="930"/>
      <c r="BK59" s="930"/>
      <c r="BL59" s="930"/>
      <c r="BM59" s="930"/>
      <c r="BN59" s="930"/>
      <c r="BO59" s="930"/>
      <c r="BP59" s="930"/>
      <c r="BQ59" s="930"/>
      <c r="BR59" s="930"/>
      <c r="BS59" s="930"/>
      <c r="BT59" s="930"/>
      <c r="BU59" s="930"/>
      <c r="BV59" s="930"/>
      <c r="BW59" s="930"/>
      <c r="BX59" s="930"/>
      <c r="BY59" s="930"/>
      <c r="BZ59" s="930"/>
      <c r="CA59" s="930"/>
      <c r="CB59" s="930"/>
      <c r="CC59" s="930"/>
      <c r="CD59" s="930"/>
      <c r="CE59" s="930"/>
      <c r="CF59" s="930"/>
      <c r="CG59" s="930"/>
      <c r="CH59" s="930"/>
      <c r="CI59" s="930"/>
      <c r="CJ59" s="930"/>
      <c r="CK59" s="930"/>
      <c r="CL59" s="930"/>
      <c r="CM59" s="930"/>
      <c r="CN59" s="930"/>
      <c r="CO59" s="930"/>
      <c r="CP59" s="930"/>
      <c r="CQ59" s="930"/>
      <c r="CR59" s="930"/>
      <c r="CS59" s="930"/>
      <c r="CT59" s="930"/>
      <c r="CU59" s="930"/>
      <c r="CV59" s="930"/>
      <c r="CW59" s="930"/>
      <c r="CX59" s="930"/>
      <c r="CY59" s="930"/>
      <c r="CZ59" s="930"/>
      <c r="DA59" s="930"/>
      <c r="DB59" s="930"/>
      <c r="DC59" s="930"/>
      <c r="DD59" s="930"/>
      <c r="DE59" s="930"/>
      <c r="DF59" s="930"/>
      <c r="DG59" s="930"/>
      <c r="DH59" s="930"/>
      <c r="DI59" s="930"/>
      <c r="DJ59" s="930"/>
      <c r="DK59" s="930"/>
      <c r="DL59" s="930"/>
      <c r="DM59" s="930"/>
      <c r="DN59" s="930"/>
      <c r="DO59" s="930"/>
      <c r="DP59" s="930"/>
      <c r="DQ59" s="930"/>
      <c r="DR59" s="930"/>
      <c r="DS59" s="930"/>
      <c r="DT59" s="930"/>
      <c r="DU59" s="930"/>
      <c r="DV59" s="930"/>
      <c r="DW59" s="930"/>
      <c r="DX59" s="930"/>
      <c r="DY59" s="930"/>
      <c r="DZ59" s="930"/>
      <c r="EA59" s="930"/>
      <c r="EB59" s="930"/>
      <c r="EC59" s="930"/>
      <c r="ED59" s="930"/>
      <c r="EE59" s="930"/>
      <c r="EF59" s="930"/>
      <c r="EG59" s="930"/>
      <c r="EH59" s="930"/>
      <c r="EI59" s="930"/>
      <c r="EJ59" s="930"/>
      <c r="EK59" s="930"/>
      <c r="EL59" s="930"/>
      <c r="EM59" s="930"/>
      <c r="EN59" s="930"/>
      <c r="EO59" s="930"/>
      <c r="EP59" s="930"/>
      <c r="EQ59" s="930"/>
      <c r="ER59" s="930"/>
      <c r="ES59" s="930"/>
      <c r="ET59" s="930"/>
      <c r="EU59" s="930"/>
      <c r="EV59" s="930"/>
      <c r="EW59" s="930"/>
      <c r="EX59" s="930"/>
      <c r="EY59" s="930"/>
      <c r="EZ59" s="930"/>
      <c r="FA59" s="930"/>
      <c r="FB59" s="930"/>
      <c r="FC59" s="930"/>
      <c r="FD59" s="930"/>
      <c r="FE59" s="930"/>
      <c r="FF59" s="930"/>
      <c r="FG59" s="930"/>
      <c r="FH59" s="930"/>
      <c r="FI59" s="930"/>
      <c r="FJ59" s="930"/>
      <c r="FK59" s="930"/>
      <c r="FL59" s="930"/>
      <c r="FM59" s="930"/>
      <c r="FN59" s="930"/>
      <c r="FO59" s="930"/>
      <c r="FP59" s="930"/>
      <c r="FQ59" s="930"/>
      <c r="FR59" s="930"/>
      <c r="FS59" s="930"/>
      <c r="FT59" s="930"/>
      <c r="FU59" s="930"/>
      <c r="FV59" s="930"/>
      <c r="FW59" s="930"/>
      <c r="FX59" s="930"/>
      <c r="FY59" s="930"/>
      <c r="FZ59" s="930"/>
      <c r="GA59" s="930"/>
      <c r="GB59" s="930"/>
      <c r="GC59" s="930"/>
      <c r="GD59" s="930"/>
      <c r="GE59" s="930"/>
      <c r="GF59" s="930"/>
      <c r="GG59" s="930"/>
      <c r="GH59" s="930"/>
      <c r="GI59" s="930"/>
      <c r="GJ59" s="930"/>
      <c r="GK59" s="930"/>
      <c r="GL59" s="930"/>
      <c r="GM59" s="930"/>
      <c r="GN59" s="930"/>
      <c r="GO59" s="930"/>
      <c r="GP59" s="930"/>
      <c r="GQ59" s="930"/>
      <c r="GR59" s="930"/>
      <c r="GS59" s="930"/>
      <c r="GT59" s="930"/>
      <c r="GU59" s="930"/>
      <c r="GV59" s="930"/>
      <c r="GW59" s="930"/>
      <c r="GX59" s="930"/>
      <c r="GY59" s="930"/>
      <c r="GZ59" s="930"/>
      <c r="HA59" s="930"/>
      <c r="HB59" s="930"/>
      <c r="HC59" s="930"/>
      <c r="HD59" s="930"/>
      <c r="HE59" s="930"/>
      <c r="HF59" s="930"/>
      <c r="HG59" s="930"/>
      <c r="HH59" s="930"/>
      <c r="HI59" s="930"/>
      <c r="HJ59" s="930"/>
      <c r="HK59" s="930"/>
      <c r="HL59" s="930"/>
      <c r="HM59" s="930"/>
      <c r="HN59" s="930"/>
      <c r="HO59" s="930"/>
      <c r="HP59" s="930"/>
      <c r="HQ59" s="930"/>
      <c r="HR59" s="930"/>
      <c r="HS59" s="930"/>
      <c r="HT59" s="930"/>
      <c r="HU59" s="930"/>
      <c r="HV59" s="930"/>
      <c r="HW59" s="930"/>
      <c r="HX59" s="930"/>
      <c r="HY59" s="930"/>
      <c r="HZ59" s="930"/>
      <c r="IA59" s="930"/>
      <c r="IB59" s="930"/>
      <c r="IC59" s="930"/>
      <c r="ID59" s="930"/>
      <c r="IE59" s="930"/>
      <c r="IF59" s="930"/>
      <c r="IG59" s="930"/>
      <c r="IH59" s="930"/>
      <c r="II59" s="930"/>
      <c r="IJ59" s="930"/>
      <c r="IK59" s="930"/>
      <c r="IL59" s="930"/>
      <c r="IM59" s="930"/>
      <c r="IN59" s="930"/>
      <c r="IO59" s="930"/>
      <c r="IP59" s="930"/>
      <c r="IQ59" s="930"/>
      <c r="IR59" s="930"/>
      <c r="IS59" s="930"/>
      <c r="IT59" s="930"/>
      <c r="IU59" s="930"/>
      <c r="IV59" s="930"/>
    </row>
    <row r="60" spans="1:256">
      <c r="A60" s="935"/>
      <c r="B60" s="945"/>
      <c r="C60" s="945"/>
      <c r="D60" s="945"/>
      <c r="E60" s="945"/>
      <c r="F60" s="945"/>
      <c r="G60" s="945"/>
      <c r="H60" s="945"/>
      <c r="I60" s="945"/>
      <c r="J60" s="930"/>
      <c r="K60" s="930"/>
      <c r="L60" s="930"/>
      <c r="M60" s="930"/>
      <c r="N60" s="930"/>
      <c r="O60" s="930"/>
      <c r="P60" s="930"/>
      <c r="Q60" s="930"/>
      <c r="R60" s="930"/>
      <c r="S60" s="930"/>
      <c r="T60" s="930"/>
      <c r="U60" s="930"/>
      <c r="V60" s="930"/>
      <c r="W60" s="930"/>
      <c r="X60" s="930"/>
      <c r="Y60" s="930"/>
      <c r="Z60" s="930"/>
      <c r="AA60" s="930"/>
      <c r="AB60" s="930"/>
      <c r="AC60" s="930"/>
      <c r="AD60" s="930"/>
      <c r="AE60" s="930"/>
      <c r="AF60" s="930"/>
      <c r="AG60" s="930"/>
      <c r="AH60" s="930"/>
      <c r="AI60" s="930"/>
      <c r="AJ60" s="930"/>
      <c r="AK60" s="930"/>
      <c r="AL60" s="930"/>
      <c r="AM60" s="930"/>
      <c r="AN60" s="930"/>
      <c r="AO60" s="930"/>
      <c r="AP60" s="930"/>
      <c r="AQ60" s="930"/>
      <c r="AR60" s="930"/>
      <c r="AS60" s="930"/>
      <c r="AT60" s="930"/>
      <c r="AU60" s="930"/>
      <c r="AV60" s="930"/>
      <c r="AW60" s="930"/>
      <c r="AX60" s="930"/>
      <c r="AY60" s="930"/>
      <c r="AZ60" s="930"/>
      <c r="BA60" s="930"/>
      <c r="BB60" s="930"/>
      <c r="BC60" s="930"/>
      <c r="BD60" s="930"/>
      <c r="BE60" s="930"/>
      <c r="BF60" s="930"/>
      <c r="BG60" s="930"/>
      <c r="BH60" s="930"/>
      <c r="BI60" s="930"/>
      <c r="BJ60" s="930"/>
      <c r="BK60" s="930"/>
      <c r="BL60" s="930"/>
      <c r="BM60" s="930"/>
      <c r="BN60" s="930"/>
      <c r="BO60" s="930"/>
      <c r="BP60" s="930"/>
      <c r="BQ60" s="930"/>
      <c r="BR60" s="930"/>
      <c r="BS60" s="930"/>
      <c r="BT60" s="930"/>
      <c r="BU60" s="930"/>
      <c r="BV60" s="930"/>
      <c r="BW60" s="930"/>
      <c r="BX60" s="930"/>
      <c r="BY60" s="930"/>
      <c r="BZ60" s="930"/>
      <c r="CA60" s="930"/>
      <c r="CB60" s="930"/>
      <c r="CC60" s="930"/>
      <c r="CD60" s="930"/>
      <c r="CE60" s="930"/>
      <c r="CF60" s="930"/>
      <c r="CG60" s="930"/>
      <c r="CH60" s="930"/>
      <c r="CI60" s="930"/>
      <c r="CJ60" s="930"/>
      <c r="CK60" s="930"/>
      <c r="CL60" s="930"/>
      <c r="CM60" s="930"/>
      <c r="CN60" s="930"/>
      <c r="CO60" s="930"/>
      <c r="CP60" s="930"/>
      <c r="CQ60" s="930"/>
      <c r="CR60" s="930"/>
      <c r="CS60" s="930"/>
      <c r="CT60" s="930"/>
      <c r="CU60" s="930"/>
      <c r="CV60" s="930"/>
      <c r="CW60" s="930"/>
      <c r="CX60" s="930"/>
      <c r="CY60" s="930"/>
      <c r="CZ60" s="930"/>
      <c r="DA60" s="930"/>
      <c r="DB60" s="930"/>
      <c r="DC60" s="930"/>
      <c r="DD60" s="930"/>
      <c r="DE60" s="930"/>
      <c r="DF60" s="930"/>
      <c r="DG60" s="930"/>
      <c r="DH60" s="930"/>
      <c r="DI60" s="930"/>
      <c r="DJ60" s="930"/>
      <c r="DK60" s="930"/>
      <c r="DL60" s="930"/>
      <c r="DM60" s="930"/>
      <c r="DN60" s="930"/>
      <c r="DO60" s="930"/>
      <c r="DP60" s="930"/>
      <c r="DQ60" s="930"/>
      <c r="DR60" s="930"/>
      <c r="DS60" s="930"/>
      <c r="DT60" s="930"/>
      <c r="DU60" s="930"/>
      <c r="DV60" s="930"/>
      <c r="DW60" s="930"/>
      <c r="DX60" s="930"/>
      <c r="DY60" s="930"/>
      <c r="DZ60" s="930"/>
      <c r="EA60" s="930"/>
      <c r="EB60" s="930"/>
      <c r="EC60" s="930"/>
      <c r="ED60" s="930"/>
      <c r="EE60" s="930"/>
      <c r="EF60" s="930"/>
      <c r="EG60" s="930"/>
      <c r="EH60" s="930"/>
      <c r="EI60" s="930"/>
      <c r="EJ60" s="930"/>
      <c r="EK60" s="930"/>
      <c r="EL60" s="930"/>
      <c r="EM60" s="930"/>
      <c r="EN60" s="930"/>
      <c r="EO60" s="930"/>
      <c r="EP60" s="930"/>
      <c r="EQ60" s="930"/>
      <c r="ER60" s="930"/>
      <c r="ES60" s="930"/>
      <c r="ET60" s="930"/>
      <c r="EU60" s="930"/>
      <c r="EV60" s="930"/>
      <c r="EW60" s="930"/>
      <c r="EX60" s="930"/>
      <c r="EY60" s="930"/>
      <c r="EZ60" s="930"/>
      <c r="FA60" s="930"/>
      <c r="FB60" s="930"/>
      <c r="FC60" s="930"/>
      <c r="FD60" s="930"/>
      <c r="FE60" s="930"/>
      <c r="FF60" s="930"/>
      <c r="FG60" s="930"/>
      <c r="FH60" s="930"/>
      <c r="FI60" s="930"/>
      <c r="FJ60" s="930"/>
      <c r="FK60" s="930"/>
      <c r="FL60" s="930"/>
      <c r="FM60" s="930"/>
      <c r="FN60" s="930"/>
      <c r="FO60" s="930"/>
      <c r="FP60" s="930"/>
      <c r="FQ60" s="930"/>
      <c r="FR60" s="930"/>
      <c r="FS60" s="930"/>
      <c r="FT60" s="930"/>
      <c r="FU60" s="930"/>
      <c r="FV60" s="930"/>
      <c r="FW60" s="930"/>
      <c r="FX60" s="930"/>
      <c r="FY60" s="930"/>
      <c r="FZ60" s="930"/>
      <c r="GA60" s="930"/>
      <c r="GB60" s="930"/>
      <c r="GC60" s="930"/>
      <c r="GD60" s="930"/>
      <c r="GE60" s="930"/>
      <c r="GF60" s="930"/>
      <c r="GG60" s="930"/>
      <c r="GH60" s="930"/>
      <c r="GI60" s="930"/>
      <c r="GJ60" s="930"/>
      <c r="GK60" s="930"/>
      <c r="GL60" s="930"/>
      <c r="GM60" s="930"/>
      <c r="GN60" s="930"/>
      <c r="GO60" s="930"/>
      <c r="GP60" s="930"/>
      <c r="GQ60" s="930"/>
      <c r="GR60" s="930"/>
      <c r="GS60" s="930"/>
      <c r="GT60" s="930"/>
      <c r="GU60" s="930"/>
      <c r="GV60" s="930"/>
      <c r="GW60" s="930"/>
      <c r="GX60" s="930"/>
      <c r="GY60" s="930"/>
      <c r="GZ60" s="930"/>
      <c r="HA60" s="930"/>
      <c r="HB60" s="930"/>
      <c r="HC60" s="930"/>
      <c r="HD60" s="930"/>
      <c r="HE60" s="930"/>
      <c r="HF60" s="930"/>
      <c r="HG60" s="930"/>
      <c r="HH60" s="930"/>
      <c r="HI60" s="930"/>
      <c r="HJ60" s="930"/>
      <c r="HK60" s="930"/>
      <c r="HL60" s="930"/>
      <c r="HM60" s="930"/>
      <c r="HN60" s="930"/>
      <c r="HO60" s="930"/>
      <c r="HP60" s="930"/>
      <c r="HQ60" s="930"/>
      <c r="HR60" s="930"/>
      <c r="HS60" s="930"/>
      <c r="HT60" s="930"/>
      <c r="HU60" s="930"/>
      <c r="HV60" s="930"/>
      <c r="HW60" s="930"/>
      <c r="HX60" s="930"/>
      <c r="HY60" s="930"/>
      <c r="HZ60" s="930"/>
      <c r="IA60" s="930"/>
      <c r="IB60" s="930"/>
      <c r="IC60" s="930"/>
      <c r="ID60" s="930"/>
      <c r="IE60" s="930"/>
      <c r="IF60" s="930"/>
      <c r="IG60" s="930"/>
      <c r="IH60" s="930"/>
      <c r="II60" s="930"/>
      <c r="IJ60" s="930"/>
      <c r="IK60" s="930"/>
      <c r="IL60" s="930"/>
      <c r="IM60" s="930"/>
      <c r="IN60" s="930"/>
      <c r="IO60" s="930"/>
      <c r="IP60" s="930"/>
      <c r="IQ60" s="930"/>
      <c r="IR60" s="930"/>
      <c r="IS60" s="930"/>
      <c r="IT60" s="930"/>
      <c r="IU60" s="930"/>
      <c r="IV60" s="930"/>
    </row>
    <row r="61" spans="1:256" ht="13.5" thickBot="1">
      <c r="A61" s="935">
        <f>+A59+1</f>
        <v>38</v>
      </c>
      <c r="B61" s="946" t="str">
        <f>"Proration Adjustment - Line "&amp;A59&amp;" Col. "&amp;I43&amp;" less Col. "&amp;D43</f>
        <v>Proration Adjustment - Line 37 Col. (H) less Col. (C )</v>
      </c>
      <c r="C61" s="946"/>
      <c r="D61" s="946"/>
      <c r="E61" s="946"/>
      <c r="F61" s="946"/>
      <c r="G61" s="946"/>
      <c r="H61" s="946"/>
      <c r="I61" s="947">
        <f>+I59-D59</f>
        <v>0</v>
      </c>
      <c r="J61" s="930"/>
      <c r="K61" s="930"/>
      <c r="L61" s="930"/>
      <c r="M61" s="930"/>
      <c r="N61" s="930"/>
      <c r="O61" s="930"/>
      <c r="P61" s="930"/>
      <c r="Q61" s="930"/>
      <c r="R61" s="930"/>
      <c r="S61" s="930"/>
      <c r="T61" s="930"/>
      <c r="U61" s="930"/>
      <c r="V61" s="930"/>
      <c r="W61" s="930"/>
      <c r="X61" s="930"/>
      <c r="Y61" s="930"/>
      <c r="Z61" s="930"/>
      <c r="AA61" s="930"/>
      <c r="AB61" s="930"/>
      <c r="AC61" s="930"/>
      <c r="AD61" s="930"/>
      <c r="AE61" s="930"/>
      <c r="AF61" s="930"/>
      <c r="AG61" s="930"/>
      <c r="AH61" s="930"/>
      <c r="AI61" s="930"/>
      <c r="AJ61" s="930"/>
      <c r="AK61" s="930"/>
      <c r="AL61" s="930"/>
      <c r="AM61" s="930"/>
      <c r="AN61" s="930"/>
      <c r="AO61" s="930"/>
      <c r="AP61" s="930"/>
      <c r="AQ61" s="930"/>
      <c r="AR61" s="930"/>
      <c r="AS61" s="930"/>
      <c r="AT61" s="930"/>
      <c r="AU61" s="930"/>
      <c r="AV61" s="930"/>
      <c r="AW61" s="930"/>
      <c r="AX61" s="930"/>
      <c r="AY61" s="930"/>
      <c r="AZ61" s="930"/>
      <c r="BA61" s="930"/>
      <c r="BB61" s="930"/>
      <c r="BC61" s="930"/>
      <c r="BD61" s="930"/>
      <c r="BE61" s="930"/>
      <c r="BF61" s="930"/>
      <c r="BG61" s="930"/>
      <c r="BH61" s="930"/>
      <c r="BI61" s="930"/>
      <c r="BJ61" s="930"/>
      <c r="BK61" s="930"/>
      <c r="BL61" s="930"/>
      <c r="BM61" s="930"/>
      <c r="BN61" s="930"/>
      <c r="BO61" s="930"/>
      <c r="BP61" s="930"/>
      <c r="BQ61" s="930"/>
      <c r="BR61" s="930"/>
      <c r="BS61" s="930"/>
      <c r="BT61" s="930"/>
      <c r="BU61" s="930"/>
      <c r="BV61" s="930"/>
      <c r="BW61" s="930"/>
      <c r="BX61" s="930"/>
      <c r="BY61" s="930"/>
      <c r="BZ61" s="930"/>
      <c r="CA61" s="930"/>
      <c r="CB61" s="930"/>
      <c r="CC61" s="930"/>
      <c r="CD61" s="930"/>
      <c r="CE61" s="930"/>
      <c r="CF61" s="930"/>
      <c r="CG61" s="930"/>
      <c r="CH61" s="930"/>
      <c r="CI61" s="930"/>
      <c r="CJ61" s="930"/>
      <c r="CK61" s="930"/>
      <c r="CL61" s="930"/>
      <c r="CM61" s="930"/>
      <c r="CN61" s="930"/>
      <c r="CO61" s="930"/>
      <c r="CP61" s="930"/>
      <c r="CQ61" s="930"/>
      <c r="CR61" s="930"/>
      <c r="CS61" s="930"/>
      <c r="CT61" s="930"/>
      <c r="CU61" s="930"/>
      <c r="CV61" s="930"/>
      <c r="CW61" s="930"/>
      <c r="CX61" s="930"/>
      <c r="CY61" s="930"/>
      <c r="CZ61" s="930"/>
      <c r="DA61" s="930"/>
      <c r="DB61" s="930"/>
      <c r="DC61" s="930"/>
      <c r="DD61" s="930"/>
      <c r="DE61" s="930"/>
      <c r="DF61" s="930"/>
      <c r="DG61" s="930"/>
      <c r="DH61" s="930"/>
      <c r="DI61" s="930"/>
      <c r="DJ61" s="930"/>
      <c r="DK61" s="930"/>
      <c r="DL61" s="930"/>
      <c r="DM61" s="930"/>
      <c r="DN61" s="930"/>
      <c r="DO61" s="930"/>
      <c r="DP61" s="930"/>
      <c r="DQ61" s="930"/>
      <c r="DR61" s="930"/>
      <c r="DS61" s="930"/>
      <c r="DT61" s="930"/>
      <c r="DU61" s="930"/>
      <c r="DV61" s="930"/>
      <c r="DW61" s="930"/>
      <c r="DX61" s="930"/>
      <c r="DY61" s="930"/>
      <c r="DZ61" s="930"/>
      <c r="EA61" s="930"/>
      <c r="EB61" s="930"/>
      <c r="EC61" s="930"/>
      <c r="ED61" s="930"/>
      <c r="EE61" s="930"/>
      <c r="EF61" s="930"/>
      <c r="EG61" s="930"/>
      <c r="EH61" s="930"/>
      <c r="EI61" s="930"/>
      <c r="EJ61" s="930"/>
      <c r="EK61" s="930"/>
      <c r="EL61" s="930"/>
      <c r="EM61" s="930"/>
      <c r="EN61" s="930"/>
      <c r="EO61" s="930"/>
      <c r="EP61" s="930"/>
      <c r="EQ61" s="930"/>
      <c r="ER61" s="930"/>
      <c r="ES61" s="930"/>
      <c r="ET61" s="930"/>
      <c r="EU61" s="930"/>
      <c r="EV61" s="930"/>
      <c r="EW61" s="930"/>
      <c r="EX61" s="930"/>
      <c r="EY61" s="930"/>
      <c r="EZ61" s="930"/>
      <c r="FA61" s="930"/>
      <c r="FB61" s="930"/>
      <c r="FC61" s="930"/>
      <c r="FD61" s="930"/>
      <c r="FE61" s="930"/>
      <c r="FF61" s="930"/>
      <c r="FG61" s="930"/>
      <c r="FH61" s="930"/>
      <c r="FI61" s="930"/>
      <c r="FJ61" s="930"/>
      <c r="FK61" s="930"/>
      <c r="FL61" s="930"/>
      <c r="FM61" s="930"/>
      <c r="FN61" s="930"/>
      <c r="FO61" s="930"/>
      <c r="FP61" s="930"/>
      <c r="FQ61" s="930"/>
      <c r="FR61" s="930"/>
      <c r="FS61" s="930"/>
      <c r="FT61" s="930"/>
      <c r="FU61" s="930"/>
      <c r="FV61" s="930"/>
      <c r="FW61" s="930"/>
      <c r="FX61" s="930"/>
      <c r="FY61" s="930"/>
      <c r="FZ61" s="930"/>
      <c r="GA61" s="930"/>
      <c r="GB61" s="930"/>
      <c r="GC61" s="930"/>
      <c r="GD61" s="930"/>
      <c r="GE61" s="930"/>
      <c r="GF61" s="930"/>
      <c r="GG61" s="930"/>
      <c r="GH61" s="930"/>
      <c r="GI61" s="930"/>
      <c r="GJ61" s="930"/>
      <c r="GK61" s="930"/>
      <c r="GL61" s="930"/>
      <c r="GM61" s="930"/>
      <c r="GN61" s="930"/>
      <c r="GO61" s="930"/>
      <c r="GP61" s="930"/>
      <c r="GQ61" s="930"/>
      <c r="GR61" s="930"/>
      <c r="GS61" s="930"/>
      <c r="GT61" s="930"/>
      <c r="GU61" s="930"/>
      <c r="GV61" s="930"/>
      <c r="GW61" s="930"/>
      <c r="GX61" s="930"/>
      <c r="GY61" s="930"/>
      <c r="GZ61" s="930"/>
      <c r="HA61" s="930"/>
      <c r="HB61" s="930"/>
      <c r="HC61" s="930"/>
      <c r="HD61" s="930"/>
      <c r="HE61" s="930"/>
      <c r="HF61" s="930"/>
      <c r="HG61" s="930"/>
      <c r="HH61" s="930"/>
      <c r="HI61" s="930"/>
      <c r="HJ61" s="930"/>
      <c r="HK61" s="930"/>
      <c r="HL61" s="930"/>
      <c r="HM61" s="930"/>
      <c r="HN61" s="930"/>
      <c r="HO61" s="930"/>
      <c r="HP61" s="930"/>
      <c r="HQ61" s="930"/>
      <c r="HR61" s="930"/>
      <c r="HS61" s="930"/>
      <c r="HT61" s="930"/>
      <c r="HU61" s="930"/>
      <c r="HV61" s="930"/>
      <c r="HW61" s="930"/>
      <c r="HX61" s="930"/>
      <c r="HY61" s="930"/>
      <c r="HZ61" s="930"/>
      <c r="IA61" s="930"/>
      <c r="IB61" s="930"/>
      <c r="IC61" s="930"/>
      <c r="ID61" s="930"/>
      <c r="IE61" s="930"/>
      <c r="IF61" s="930"/>
      <c r="IG61" s="930"/>
      <c r="IH61" s="930"/>
      <c r="II61" s="930"/>
      <c r="IJ61" s="930"/>
      <c r="IK61" s="930"/>
      <c r="IL61" s="930"/>
      <c r="IM61" s="930"/>
      <c r="IN61" s="930"/>
      <c r="IO61" s="930"/>
      <c r="IP61" s="930"/>
      <c r="IQ61" s="930"/>
      <c r="IR61" s="930"/>
      <c r="IS61" s="930"/>
      <c r="IT61" s="930"/>
      <c r="IU61" s="930"/>
      <c r="IV61" s="930"/>
    </row>
    <row r="62" spans="1:256" ht="13.5" thickTop="1"/>
  </sheetData>
  <mergeCells count="8">
    <mergeCell ref="E37:F37"/>
    <mergeCell ref="E10:F10"/>
    <mergeCell ref="A2:I2"/>
    <mergeCell ref="A3:I3"/>
    <mergeCell ref="A4:I4"/>
    <mergeCell ref="A5:I5"/>
    <mergeCell ref="B6:E6"/>
    <mergeCell ref="A7:I7"/>
  </mergeCells>
  <pageMargins left="0.7" right="0.7" top="0.75" bottom="0.75" header="0.3" footer="0.3"/>
  <pageSetup scale="65" orientation="portrait" r:id="rId1"/>
  <headerFooter>
    <oddHeader>&amp;RAEP - SPP Formula Rate
TCOS - WS-C3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152"/>
  <sheetViews>
    <sheetView topLeftCell="A10" zoomScale="70" zoomScaleNormal="70" zoomScaleSheetLayoutView="80" zoomScalePageLayoutView="70" workbookViewId="0">
      <selection activeCell="O34" sqref="O34"/>
    </sheetView>
  </sheetViews>
  <sheetFormatPr defaultColWidth="11.42578125" defaultRowHeight="12.75"/>
  <cols>
    <col min="1" max="1" width="8.140625" style="97" customWidth="1"/>
    <col min="2" max="2" width="15.42578125" style="93" customWidth="1"/>
    <col min="3" max="3" width="47.85546875" style="93" customWidth="1"/>
    <col min="4" max="4" width="26.5703125" style="93" customWidth="1"/>
    <col min="5" max="5" width="21" style="93" customWidth="1"/>
    <col min="6" max="6" width="1" style="93" customWidth="1"/>
    <col min="7" max="7" width="24" style="93" customWidth="1"/>
    <col min="8" max="8" width="1" style="93" customWidth="1"/>
    <col min="9" max="9" width="19.140625" style="93" customWidth="1"/>
    <col min="10" max="10" width="16.7109375" style="93" customWidth="1"/>
    <col min="11" max="11" width="16.42578125" style="93" customWidth="1"/>
    <col min="12" max="12" width="24.42578125" style="93" customWidth="1"/>
    <col min="13" max="14" width="13.42578125" style="93" customWidth="1"/>
    <col min="15" max="15" width="13.7109375" style="93" customWidth="1"/>
    <col min="16" max="16384" width="11.42578125" style="93"/>
  </cols>
  <sheetData>
    <row r="1" spans="1:15" ht="15">
      <c r="A1" s="1553" t="str">
        <f>+'PSO TCOS'!F3</f>
        <v xml:space="preserve">AEP West SPP Member Operating Companies </v>
      </c>
      <c r="B1" s="1553"/>
      <c r="C1" s="1553"/>
      <c r="D1" s="1553"/>
      <c r="E1" s="1553"/>
      <c r="F1" s="1553"/>
      <c r="G1" s="1553"/>
      <c r="H1" s="1553"/>
      <c r="I1" s="1553"/>
      <c r="J1" s="1553"/>
      <c r="K1" s="1553"/>
      <c r="L1" s="1553"/>
      <c r="M1" s="324"/>
      <c r="N1" s="324"/>
      <c r="O1" s="324"/>
    </row>
    <row r="2" spans="1:15" ht="15">
      <c r="A2" s="1553" t="str">
        <f>+'PSO WS A RB Support '!A2:G2</f>
        <v xml:space="preserve">Actual / Projected 2019 Rate Year Cost of Service Formula Rate </v>
      </c>
      <c r="B2" s="1553"/>
      <c r="C2" s="1553"/>
      <c r="D2" s="1553"/>
      <c r="E2" s="1553"/>
      <c r="F2" s="1553"/>
      <c r="G2" s="1553"/>
      <c r="H2" s="1553"/>
      <c r="I2" s="1553"/>
      <c r="J2" s="1553"/>
      <c r="K2" s="1553"/>
      <c r="L2" s="1553"/>
      <c r="M2" s="454"/>
      <c r="N2" s="454"/>
      <c r="O2" s="454"/>
    </row>
    <row r="3" spans="1:15" ht="15.75">
      <c r="A3" s="1554" t="s">
        <v>131</v>
      </c>
      <c r="B3" s="1553"/>
      <c r="C3" s="1553"/>
      <c r="D3" s="1553"/>
      <c r="E3" s="1553"/>
      <c r="F3" s="1553"/>
      <c r="G3" s="1553"/>
      <c r="H3" s="1553"/>
      <c r="I3" s="1553"/>
      <c r="J3" s="1553"/>
      <c r="K3" s="1553"/>
      <c r="L3" s="1553"/>
      <c r="M3" s="384"/>
      <c r="N3" s="384"/>
      <c r="O3" s="384"/>
    </row>
    <row r="4" spans="1:15" ht="15.75">
      <c r="A4" s="1574" t="str">
        <f>+'PSO TCOS'!F7</f>
        <v>PUBLIC SERVICE COMPANY OF OKLAHOMA</v>
      </c>
      <c r="B4" s="1574"/>
      <c r="C4" s="1574"/>
      <c r="D4" s="1574"/>
      <c r="E4" s="1574"/>
      <c r="F4" s="1574"/>
      <c r="G4" s="1574"/>
      <c r="H4" s="1574"/>
      <c r="I4" s="1574"/>
      <c r="J4" s="1574"/>
      <c r="K4" s="1574"/>
      <c r="L4" s="1574"/>
      <c r="M4" s="132"/>
      <c r="N4" s="132"/>
      <c r="O4" s="132"/>
    </row>
    <row r="5" spans="1:15" ht="15">
      <c r="A5" s="132"/>
      <c r="B5" s="132"/>
      <c r="C5" s="132"/>
      <c r="D5" s="132"/>
      <c r="E5" s="132"/>
      <c r="F5" s="132"/>
      <c r="G5" s="132"/>
      <c r="H5" s="163"/>
      <c r="I5" s="89"/>
      <c r="J5" s="89"/>
      <c r="K5" s="89"/>
      <c r="L5" s="89"/>
      <c r="M5" s="89"/>
      <c r="N5" s="89"/>
      <c r="O5" s="89"/>
    </row>
    <row r="6" spans="1:15" ht="12.75" customHeight="1">
      <c r="A6" s="112"/>
      <c r="B6" s="112" t="s">
        <v>338</v>
      </c>
      <c r="C6" s="112" t="s">
        <v>339</v>
      </c>
      <c r="D6" s="112" t="s">
        <v>242</v>
      </c>
      <c r="E6" s="112" t="s">
        <v>341</v>
      </c>
      <c r="F6" s="112"/>
      <c r="G6" s="112" t="s">
        <v>266</v>
      </c>
      <c r="H6" s="112"/>
      <c r="I6" s="112" t="s">
        <v>267</v>
      </c>
      <c r="J6" s="112" t="s">
        <v>268</v>
      </c>
      <c r="K6" s="112" t="s">
        <v>273</v>
      </c>
      <c r="L6" s="112" t="s">
        <v>207</v>
      </c>
      <c r="M6" s="112"/>
      <c r="N6" s="112"/>
      <c r="O6" s="112"/>
    </row>
    <row r="7" spans="1:15">
      <c r="A7" s="111"/>
    </row>
    <row r="8" spans="1:15" ht="18">
      <c r="A8" s="111"/>
      <c r="B8" s="1573" t="s">
        <v>393</v>
      </c>
      <c r="C8" s="1573"/>
      <c r="D8" s="1573"/>
      <c r="E8" s="1573"/>
      <c r="F8" s="1573"/>
      <c r="G8" s="1573"/>
      <c r="H8" s="1573"/>
      <c r="I8" s="1573"/>
      <c r="J8" s="1573"/>
      <c r="K8" s="1573"/>
    </row>
    <row r="9" spans="1:15">
      <c r="A9" s="111"/>
      <c r="I9" s="40"/>
      <c r="J9" s="40"/>
    </row>
    <row r="10" spans="1:15" ht="30" customHeight="1">
      <c r="A10" s="44" t="s">
        <v>345</v>
      </c>
      <c r="B10" s="86"/>
      <c r="C10" s="457"/>
      <c r="D10" s="458"/>
      <c r="E10" s="1577" t="str">
        <f>"Balance @ 
December 31, "&amp;'PSO TCOS'!N1&amp;""</f>
        <v>Balance @ 
December 31, 2019</v>
      </c>
      <c r="F10" s="458"/>
      <c r="G10" s="1577" t="str">
        <f>"Balance @ 
December 31, "&amp;'PSO TCOS'!N1-1&amp;""</f>
        <v>Balance @ 
December 31, 2018</v>
      </c>
      <c r="H10" s="459"/>
      <c r="I10" s="1579" t="str">
        <f>"Average Balance for Rate Year "</f>
        <v xml:space="preserve">Average Balance for Rate Year </v>
      </c>
      <c r="J10" s="40"/>
      <c r="K10" s="89"/>
      <c r="L10" s="94"/>
      <c r="M10" s="89"/>
      <c r="N10" s="89"/>
    </row>
    <row r="11" spans="1:15">
      <c r="A11" s="44" t="s">
        <v>283</v>
      </c>
      <c r="B11" s="91"/>
      <c r="C11" s="86"/>
      <c r="D11" s="178" t="s">
        <v>384</v>
      </c>
      <c r="E11" s="1578"/>
      <c r="F11" s="179"/>
      <c r="G11" s="1578"/>
      <c r="H11" s="180"/>
      <c r="I11" s="1580"/>
      <c r="J11" s="40"/>
      <c r="K11" s="95"/>
      <c r="L11" s="96"/>
      <c r="M11" s="87"/>
      <c r="N11" s="87"/>
    </row>
    <row r="12" spans="1:15">
      <c r="A12" s="91"/>
      <c r="B12" s="91"/>
      <c r="C12" s="86"/>
      <c r="D12" s="89"/>
      <c r="E12" s="303" t="s">
        <v>3</v>
      </c>
      <c r="F12" s="85"/>
      <c r="G12" s="303" t="s">
        <v>4</v>
      </c>
      <c r="H12" s="92"/>
      <c r="J12" s="40"/>
      <c r="K12" s="95"/>
      <c r="L12" s="96"/>
      <c r="M12" s="87"/>
      <c r="N12" s="87"/>
    </row>
    <row r="13" spans="1:15">
      <c r="A13" s="91"/>
      <c r="B13" s="91"/>
      <c r="D13" s="72"/>
      <c r="E13" s="55"/>
      <c r="F13" s="55"/>
      <c r="G13" s="496"/>
      <c r="H13" s="55"/>
      <c r="I13" s="55"/>
      <c r="K13" s="55"/>
      <c r="L13" s="55"/>
      <c r="M13" s="87"/>
      <c r="N13" s="87"/>
    </row>
    <row r="14" spans="1:15">
      <c r="A14" s="91"/>
      <c r="B14" s="91"/>
      <c r="C14" s="72"/>
      <c r="D14" s="72"/>
      <c r="E14" s="55"/>
      <c r="F14" s="55"/>
      <c r="G14" s="55"/>
      <c r="H14" s="55"/>
      <c r="I14" s="55"/>
      <c r="K14" s="55"/>
      <c r="L14" s="55"/>
      <c r="M14" s="87"/>
      <c r="N14" s="87"/>
    </row>
    <row r="15" spans="1:15" ht="15">
      <c r="A15" s="91">
        <v>1</v>
      </c>
      <c r="B15" s="91"/>
      <c r="C15" s="72" t="s">
        <v>228</v>
      </c>
      <c r="D15" s="88" t="s">
        <v>156</v>
      </c>
      <c r="E15" s="836">
        <f>+G15</f>
        <v>1739929</v>
      </c>
      <c r="F15" s="837"/>
      <c r="G15" s="836">
        <v>1739929</v>
      </c>
      <c r="H15" s="55"/>
      <c r="I15" s="171">
        <f>IF(G15="",0,(E15+G15)/2)</f>
        <v>1739929</v>
      </c>
      <c r="K15" s="55"/>
      <c r="L15" s="55"/>
      <c r="M15" s="87"/>
      <c r="N15" s="87"/>
    </row>
    <row r="16" spans="1:15" ht="15">
      <c r="A16" s="91">
        <f>+A15+1</f>
        <v>2</v>
      </c>
      <c r="B16" s="91"/>
      <c r="C16" s="72" t="s">
        <v>1200</v>
      </c>
      <c r="D16" s="88" t="s">
        <v>1198</v>
      </c>
      <c r="E16" s="836"/>
      <c r="F16" s="837"/>
      <c r="G16" s="836"/>
      <c r="H16" s="55"/>
      <c r="I16" s="171">
        <f>IF(G16="",0,(E16+G16)/2)</f>
        <v>0</v>
      </c>
      <c r="K16" s="55"/>
      <c r="L16" s="55"/>
      <c r="M16" s="87"/>
      <c r="N16" s="87"/>
    </row>
    <row r="17" spans="1:14" ht="15">
      <c r="A17" s="91">
        <f>+A16+1</f>
        <v>3</v>
      </c>
      <c r="B17" s="91"/>
      <c r="C17" s="72" t="s">
        <v>1282</v>
      </c>
      <c r="D17" s="88"/>
      <c r="E17" s="1060">
        <f>+E15-E16</f>
        <v>1739929</v>
      </c>
      <c r="F17" s="837"/>
      <c r="G17" s="1060">
        <f>+G15-G16</f>
        <v>1739929</v>
      </c>
      <c r="H17" s="55"/>
      <c r="I17" s="659">
        <f>IF(G17="",0,(E17+G17)/2)</f>
        <v>1739929</v>
      </c>
      <c r="J17" s="38"/>
      <c r="K17" s="171"/>
      <c r="L17" s="55"/>
      <c r="M17" s="87"/>
      <c r="N17" s="87"/>
    </row>
    <row r="18" spans="1:14">
      <c r="A18" s="91"/>
      <c r="B18" s="91"/>
      <c r="C18" s="72"/>
      <c r="D18" s="38"/>
      <c r="E18" s="38"/>
      <c r="F18" s="38"/>
      <c r="G18" s="38"/>
      <c r="H18" s="38"/>
      <c r="I18" s="38"/>
      <c r="J18" s="38"/>
      <c r="K18" s="38"/>
      <c r="L18" s="55"/>
      <c r="M18" s="87"/>
      <c r="N18" s="87"/>
    </row>
    <row r="19" spans="1:14" ht="15">
      <c r="A19" s="91">
        <f>+A17+1</f>
        <v>4</v>
      </c>
      <c r="B19" s="91"/>
      <c r="C19" s="72" t="s">
        <v>229</v>
      </c>
      <c r="D19" s="88" t="s">
        <v>157</v>
      </c>
      <c r="E19" s="836">
        <f>+G19</f>
        <v>244679</v>
      </c>
      <c r="F19" s="837"/>
      <c r="G19" s="836">
        <v>244679</v>
      </c>
      <c r="H19" s="92"/>
      <c r="I19" s="171">
        <f>IF(G19="",0,(E19+G19)/2)</f>
        <v>244679</v>
      </c>
      <c r="J19" s="40"/>
      <c r="K19" s="95"/>
      <c r="L19" s="96"/>
      <c r="M19" s="87"/>
      <c r="N19" s="87"/>
    </row>
    <row r="20" spans="1:14">
      <c r="A20" s="91"/>
      <c r="B20" s="91"/>
      <c r="C20" s="72"/>
      <c r="D20" s="88"/>
      <c r="E20" s="38"/>
      <c r="F20" s="38"/>
      <c r="G20" s="38"/>
      <c r="H20" s="38"/>
      <c r="I20" s="38"/>
      <c r="J20" s="38"/>
      <c r="K20" s="95"/>
      <c r="L20" s="96"/>
      <c r="M20" s="87"/>
      <c r="N20" s="87"/>
    </row>
    <row r="21" spans="1:14" ht="15">
      <c r="A21" s="91">
        <f>+A19+1</f>
        <v>5</v>
      </c>
      <c r="B21" s="91"/>
      <c r="C21" s="72" t="s">
        <v>1085</v>
      </c>
      <c r="D21" s="88" t="s">
        <v>158</v>
      </c>
      <c r="E21" s="836">
        <f>+G21</f>
        <v>0</v>
      </c>
      <c r="F21" s="55"/>
      <c r="G21" s="836">
        <v>0</v>
      </c>
      <c r="H21" s="92"/>
      <c r="I21" s="284">
        <f>IF(G21="",0,(E21+G21)/2)</f>
        <v>0</v>
      </c>
      <c r="J21" s="40"/>
      <c r="K21" s="95"/>
      <c r="L21" s="96"/>
      <c r="M21" s="87"/>
      <c r="N21" s="87"/>
    </row>
    <row r="22" spans="1:14">
      <c r="A22" s="91"/>
      <c r="B22" s="91"/>
      <c r="C22" s="86"/>
      <c r="D22" s="89"/>
      <c r="E22" s="85"/>
      <c r="F22" s="85"/>
      <c r="H22" s="92"/>
      <c r="J22" s="40"/>
      <c r="K22" s="95"/>
      <c r="L22" s="96"/>
      <c r="M22" s="87"/>
      <c r="N22" s="87"/>
    </row>
    <row r="23" spans="1:14">
      <c r="A23" s="91"/>
      <c r="B23" s="91"/>
      <c r="C23" s="86"/>
      <c r="D23" s="89"/>
      <c r="E23" s="85"/>
      <c r="F23" s="85"/>
      <c r="H23" s="92"/>
      <c r="J23" s="40"/>
      <c r="K23" s="95"/>
      <c r="L23" s="96"/>
      <c r="M23" s="87"/>
      <c r="N23" s="87"/>
    </row>
    <row r="24" spans="1:14" ht="18">
      <c r="A24" s="91"/>
      <c r="B24" s="1573" t="s">
        <v>238</v>
      </c>
      <c r="C24" s="1573"/>
      <c r="D24" s="1573"/>
      <c r="E24" s="1573"/>
      <c r="F24" s="1573"/>
      <c r="G24" s="1573"/>
      <c r="H24" s="1573"/>
      <c r="I24" s="1573"/>
      <c r="J24" s="1573"/>
      <c r="K24" s="1573"/>
      <c r="L24" s="96"/>
      <c r="M24" s="87"/>
      <c r="N24" s="87"/>
    </row>
    <row r="25" spans="1:14" ht="12.75" customHeight="1">
      <c r="A25" s="91"/>
      <c r="B25" s="173"/>
      <c r="C25" s="86"/>
      <c r="D25" s="55"/>
      <c r="E25" s="43"/>
      <c r="G25" s="43" t="s">
        <v>269</v>
      </c>
      <c r="I25" s="41"/>
      <c r="J25" s="41"/>
      <c r="K25" s="41" t="s">
        <v>354</v>
      </c>
      <c r="L25" s="96"/>
      <c r="M25" s="87"/>
      <c r="N25" s="87"/>
    </row>
    <row r="26" spans="1:14" ht="12.75" customHeight="1">
      <c r="A26" s="91"/>
      <c r="B26" s="173"/>
      <c r="C26" s="86"/>
      <c r="D26" s="41" t="s">
        <v>208</v>
      </c>
      <c r="E26" s="41" t="s">
        <v>231</v>
      </c>
      <c r="G26" s="41" t="s">
        <v>292</v>
      </c>
      <c r="I26" s="41" t="s">
        <v>225</v>
      </c>
      <c r="J26" s="41" t="s">
        <v>337</v>
      </c>
      <c r="K26" s="41" t="s">
        <v>382</v>
      </c>
      <c r="L26" s="96"/>
      <c r="M26" s="87"/>
      <c r="N26" s="87"/>
    </row>
    <row r="27" spans="1:14" ht="12.75" customHeight="1">
      <c r="A27" s="91"/>
      <c r="B27" s="173"/>
      <c r="C27" s="86"/>
      <c r="D27" s="44" t="s">
        <v>270</v>
      </c>
      <c r="E27" s="44" t="s">
        <v>209</v>
      </c>
      <c r="G27" s="44" t="s">
        <v>226</v>
      </c>
      <c r="I27" s="44" t="s">
        <v>226</v>
      </c>
      <c r="J27" s="44" t="s">
        <v>226</v>
      </c>
      <c r="K27" s="44" t="s">
        <v>227</v>
      </c>
      <c r="L27" s="96"/>
      <c r="M27" s="87"/>
      <c r="N27" s="87"/>
    </row>
    <row r="28" spans="1:14">
      <c r="A28" s="91"/>
      <c r="B28" s="91"/>
      <c r="C28" s="86"/>
      <c r="D28" s="300"/>
      <c r="E28" s="281"/>
      <c r="F28" s="281"/>
      <c r="G28" s="282"/>
      <c r="H28" s="283"/>
      <c r="I28" s="282"/>
      <c r="J28" s="287"/>
      <c r="K28" s="302"/>
      <c r="L28" s="96"/>
      <c r="M28" s="87"/>
      <c r="N28" s="87"/>
    </row>
    <row r="29" spans="1:14">
      <c r="A29" s="91">
        <f>+A21+1</f>
        <v>6</v>
      </c>
      <c r="B29" s="91"/>
      <c r="C29" s="93" t="str">
        <f>"Totals as of December 31, "&amp;'PSO TCOS'!N1&amp;""</f>
        <v>Totals as of December 31, 2019</v>
      </c>
      <c r="D29" s="284">
        <f>ROUND(D65,0)</f>
        <v>7943403</v>
      </c>
      <c r="E29" s="284">
        <f>ROUND(E65,0)</f>
        <v>-87039053</v>
      </c>
      <c r="F29" s="284"/>
      <c r="G29" s="284">
        <f>ROUND(G65,0)</f>
        <v>0</v>
      </c>
      <c r="H29" s="283"/>
      <c r="I29" s="284">
        <f>ROUND(I65,0)</f>
        <v>2460594</v>
      </c>
      <c r="J29" s="296">
        <f>+J65</f>
        <v>92521862</v>
      </c>
      <c r="K29" s="284">
        <f>ROUND(K65,0)</f>
        <v>94982456</v>
      </c>
      <c r="L29" s="96"/>
      <c r="M29" s="87"/>
      <c r="N29" s="87"/>
    </row>
    <row r="30" spans="1:14">
      <c r="A30" s="91">
        <f>+A29+1</f>
        <v>7</v>
      </c>
      <c r="B30" s="91"/>
      <c r="C30" s="93" t="str">
        <f>"Totals as of December 31, "&amp;'PSO TCOS'!N1-1&amp;""</f>
        <v>Totals as of December 31, 2018</v>
      </c>
      <c r="D30" s="300">
        <f>IF(D106="","",D106)</f>
        <v>7943403</v>
      </c>
      <c r="E30" s="300">
        <f>IF(E106="","",E106)</f>
        <v>-87039053</v>
      </c>
      <c r="F30" s="281"/>
      <c r="G30" s="284">
        <f>ROUND(G106,0)</f>
        <v>0</v>
      </c>
      <c r="H30" s="283"/>
      <c r="I30" s="300">
        <f>IF(I106="","",I106)</f>
        <v>2460594</v>
      </c>
      <c r="J30" s="300">
        <f>IF(J106="","",J106)</f>
        <v>92521862</v>
      </c>
      <c r="K30" s="300">
        <f>IF(K106="","",K106)</f>
        <v>94982456</v>
      </c>
      <c r="L30" s="96"/>
      <c r="M30" s="87"/>
      <c r="N30" s="87"/>
    </row>
    <row r="31" spans="1:14" ht="13.5" thickBot="1">
      <c r="A31" s="91">
        <f>+A30+1</f>
        <v>8</v>
      </c>
      <c r="B31" s="91"/>
      <c r="C31" s="269" t="s">
        <v>399</v>
      </c>
      <c r="D31" s="301">
        <f>IF(D30="",0,(D29+D30)/2)</f>
        <v>7943403</v>
      </c>
      <c r="E31" s="301">
        <f>IF(E30="",0,(E29+E30)/2)</f>
        <v>-87039053</v>
      </c>
      <c r="F31" s="285"/>
      <c r="G31" s="301">
        <f>IF(G30="",0,(G29+G30)/2)</f>
        <v>0</v>
      </c>
      <c r="H31" s="286"/>
      <c r="I31" s="301">
        <f>IF(I30="",0,(I29+I30)/2)</f>
        <v>2460594</v>
      </c>
      <c r="J31" s="301">
        <f>IF(J30="",0,(J29+J30)/2)</f>
        <v>92521862</v>
      </c>
      <c r="K31" s="301">
        <f>IF(K30="",0,(K29+K30)/2)</f>
        <v>94982456</v>
      </c>
      <c r="L31" s="96"/>
      <c r="M31" s="87"/>
      <c r="N31" s="87"/>
    </row>
    <row r="32" spans="1:14" ht="13.5" thickTop="1">
      <c r="A32" s="91"/>
      <c r="B32" s="91"/>
      <c r="D32" s="300"/>
      <c r="E32" s="281"/>
      <c r="F32" s="281"/>
      <c r="G32" s="282"/>
      <c r="H32" s="283"/>
      <c r="I32" s="282"/>
      <c r="J32" s="287"/>
      <c r="K32" s="297"/>
      <c r="L32" s="96"/>
      <c r="M32" s="87"/>
      <c r="N32" s="87"/>
    </row>
    <row r="33" spans="1:14">
      <c r="A33" s="93"/>
      <c r="K33" s="95"/>
      <c r="L33" s="96"/>
      <c r="M33" s="87"/>
      <c r="N33" s="87"/>
    </row>
    <row r="34" spans="1:14" ht="18">
      <c r="A34" s="91"/>
      <c r="B34" s="1575" t="str">
        <f>"Prepayments Account 165 - Balance @ 12/31/"&amp;D36&amp;""</f>
        <v>Prepayments Account 165 - Balance @ 12/31/2019</v>
      </c>
      <c r="C34" s="1576"/>
      <c r="D34" s="1576"/>
      <c r="E34" s="1576"/>
      <c r="F34" s="1576"/>
      <c r="G34" s="1576"/>
      <c r="H34" s="1576"/>
      <c r="I34" s="1576"/>
      <c r="J34" s="1576"/>
      <c r="K34" s="95"/>
      <c r="L34" s="96"/>
      <c r="M34" s="87"/>
      <c r="N34" s="87"/>
    </row>
    <row r="35" spans="1:14">
      <c r="A35" s="91"/>
      <c r="B35" s="346"/>
      <c r="C35" s="55"/>
      <c r="D35" s="55"/>
      <c r="E35" s="43"/>
      <c r="G35" s="43" t="s">
        <v>269</v>
      </c>
      <c r="I35" s="41"/>
      <c r="J35" s="41"/>
      <c r="K35" s="41" t="s">
        <v>354</v>
      </c>
      <c r="L35" s="38"/>
      <c r="M35" s="87"/>
      <c r="N35" s="87"/>
    </row>
    <row r="36" spans="1:14">
      <c r="A36" s="91"/>
      <c r="B36" s="346"/>
      <c r="C36" s="291"/>
      <c r="D36" s="41">
        <f>+'PSO TCOS'!N1</f>
        <v>2019</v>
      </c>
      <c r="E36" s="41" t="s">
        <v>231</v>
      </c>
      <c r="G36" s="41" t="s">
        <v>292</v>
      </c>
      <c r="I36" s="41" t="s">
        <v>225</v>
      </c>
      <c r="J36" s="41" t="s">
        <v>337</v>
      </c>
      <c r="K36" s="41" t="s">
        <v>382</v>
      </c>
      <c r="L36" s="38"/>
      <c r="M36" s="87"/>
      <c r="N36" s="87"/>
    </row>
    <row r="37" spans="1:14">
      <c r="A37" s="91"/>
      <c r="B37" s="44" t="s">
        <v>272</v>
      </c>
      <c r="C37" s="44" t="s">
        <v>343</v>
      </c>
      <c r="D37" s="44" t="s">
        <v>270</v>
      </c>
      <c r="E37" s="44" t="s">
        <v>209</v>
      </c>
      <c r="G37" s="44" t="s">
        <v>226</v>
      </c>
      <c r="I37" s="44" t="s">
        <v>226</v>
      </c>
      <c r="J37" s="44" t="s">
        <v>226</v>
      </c>
      <c r="K37" s="44" t="s">
        <v>227</v>
      </c>
      <c r="L37" s="44" t="s">
        <v>254</v>
      </c>
      <c r="M37" s="87"/>
      <c r="N37" s="87"/>
    </row>
    <row r="38" spans="1:14">
      <c r="A38" s="91"/>
      <c r="B38" s="346"/>
      <c r="C38" s="55"/>
      <c r="D38" s="55"/>
      <c r="E38" s="55"/>
      <c r="G38" s="55"/>
      <c r="I38" s="55"/>
      <c r="J38" s="55"/>
      <c r="K38" s="55"/>
      <c r="L38" s="38"/>
      <c r="M38" s="87"/>
      <c r="N38" s="87"/>
    </row>
    <row r="39" spans="1:14" ht="124.5" customHeight="1">
      <c r="A39" s="198">
        <f>+A31+1</f>
        <v>9</v>
      </c>
      <c r="B39" s="847" t="s">
        <v>817</v>
      </c>
      <c r="C39" s="847" t="s">
        <v>818</v>
      </c>
      <c r="D39" s="1485">
        <v>894252</v>
      </c>
      <c r="E39" s="849"/>
      <c r="F39" s="850">
        <f>+F73</f>
        <v>0</v>
      </c>
      <c r="G39" s="851"/>
      <c r="H39" s="850">
        <f>+H73</f>
        <v>0</v>
      </c>
      <c r="I39" s="1485">
        <v>350053</v>
      </c>
      <c r="J39" s="1485">
        <v>544199</v>
      </c>
      <c r="K39" s="851">
        <f t="shared" ref="K39:K50" si="0">+G39+I39+J39</f>
        <v>894252</v>
      </c>
      <c r="L39" s="1268" t="s">
        <v>1010</v>
      </c>
      <c r="M39" s="87"/>
      <c r="N39" s="87"/>
    </row>
    <row r="40" spans="1:14">
      <c r="A40" s="198">
        <f t="shared" ref="A40:A63" si="1">+A39+1</f>
        <v>10</v>
      </c>
      <c r="B40" s="847" t="s">
        <v>1011</v>
      </c>
      <c r="C40" s="847" t="s">
        <v>1012</v>
      </c>
      <c r="D40" s="848">
        <v>0</v>
      </c>
      <c r="E40" s="849"/>
      <c r="F40" s="850">
        <f>+F74</f>
        <v>0</v>
      </c>
      <c r="G40" s="851"/>
      <c r="H40" s="850">
        <f>+H74</f>
        <v>0</v>
      </c>
      <c r="I40" s="851"/>
      <c r="J40" s="851"/>
      <c r="K40" s="851">
        <f t="shared" si="0"/>
        <v>0</v>
      </c>
      <c r="L40" s="1268"/>
      <c r="M40" s="87"/>
      <c r="N40" s="87"/>
    </row>
    <row r="41" spans="1:14">
      <c r="A41" s="198">
        <f t="shared" si="1"/>
        <v>11</v>
      </c>
      <c r="B41" s="1265" t="s">
        <v>819</v>
      </c>
      <c r="C41" s="847" t="s">
        <v>820</v>
      </c>
      <c r="D41" s="848">
        <v>0</v>
      </c>
      <c r="E41" s="849">
        <f>+D41</f>
        <v>0</v>
      </c>
      <c r="F41" s="850">
        <f>+F75</f>
        <v>0</v>
      </c>
      <c r="G41" s="851"/>
      <c r="H41" s="850">
        <f>+H75</f>
        <v>0</v>
      </c>
      <c r="I41" s="851"/>
      <c r="J41" s="851"/>
      <c r="K41" s="851">
        <f t="shared" si="0"/>
        <v>0</v>
      </c>
      <c r="L41" s="1268"/>
      <c r="M41" s="87"/>
      <c r="N41" s="87"/>
    </row>
    <row r="42" spans="1:14" ht="89.25">
      <c r="A42" s="198">
        <f t="shared" si="1"/>
        <v>12</v>
      </c>
      <c r="B42" s="847" t="s">
        <v>821</v>
      </c>
      <c r="C42" s="847" t="s">
        <v>822</v>
      </c>
      <c r="D42" s="1485">
        <v>4004763</v>
      </c>
      <c r="E42" s="849">
        <f>+D42</f>
        <v>4004763</v>
      </c>
      <c r="F42" s="850">
        <f>+F76</f>
        <v>0</v>
      </c>
      <c r="G42" s="851"/>
      <c r="H42" s="850">
        <f>+H76</f>
        <v>0</v>
      </c>
      <c r="I42" s="851"/>
      <c r="J42" s="851"/>
      <c r="K42" s="851">
        <f t="shared" si="0"/>
        <v>0</v>
      </c>
      <c r="L42" s="1268" t="s">
        <v>1013</v>
      </c>
      <c r="M42" s="87"/>
      <c r="N42" s="87"/>
    </row>
    <row r="43" spans="1:14" ht="25.5">
      <c r="A43" s="198">
        <f t="shared" si="1"/>
        <v>13</v>
      </c>
      <c r="B43" s="847" t="s">
        <v>823</v>
      </c>
      <c r="C43" s="847" t="s">
        <v>1308</v>
      </c>
      <c r="D43" s="1485">
        <v>116117</v>
      </c>
      <c r="E43" s="851">
        <f>+D43</f>
        <v>116117</v>
      </c>
      <c r="F43" s="850">
        <f>+F77</f>
        <v>0</v>
      </c>
      <c r="G43" s="851"/>
      <c r="H43" s="850">
        <f>+H77</f>
        <v>0</v>
      </c>
      <c r="I43" s="851"/>
      <c r="J43" s="851"/>
      <c r="K43" s="851">
        <f t="shared" si="0"/>
        <v>0</v>
      </c>
      <c r="L43" s="1268" t="s">
        <v>1014</v>
      </c>
      <c r="M43" s="87"/>
      <c r="N43" s="87"/>
    </row>
    <row r="44" spans="1:14" ht="25.5">
      <c r="A44" s="198">
        <f t="shared" si="1"/>
        <v>14</v>
      </c>
      <c r="B44" s="847" t="s">
        <v>824</v>
      </c>
      <c r="C44" s="847" t="s">
        <v>825</v>
      </c>
      <c r="D44" s="1485">
        <v>91476551</v>
      </c>
      <c r="E44" s="852"/>
      <c r="F44" s="850"/>
      <c r="G44" s="852"/>
      <c r="H44" s="282"/>
      <c r="I44" s="852"/>
      <c r="J44" s="852">
        <f>D44</f>
        <v>91476551</v>
      </c>
      <c r="K44" s="851">
        <f t="shared" si="0"/>
        <v>91476551</v>
      </c>
      <c r="L44" s="1268" t="s">
        <v>1015</v>
      </c>
      <c r="M44" s="87"/>
      <c r="N44" s="87"/>
    </row>
    <row r="45" spans="1:14">
      <c r="A45" s="198">
        <f t="shared" si="1"/>
        <v>15</v>
      </c>
      <c r="B45" s="1265" t="s">
        <v>1518</v>
      </c>
      <c r="C45" s="847" t="s">
        <v>826</v>
      </c>
      <c r="D45" s="1485">
        <v>1911803</v>
      </c>
      <c r="E45" s="851"/>
      <c r="F45" s="850"/>
      <c r="G45" s="851"/>
      <c r="H45" s="282"/>
      <c r="I45" s="851">
        <f>D45</f>
        <v>1911803</v>
      </c>
      <c r="J45" s="851"/>
      <c r="K45" s="851">
        <f t="shared" si="0"/>
        <v>1911803</v>
      </c>
      <c r="L45" s="1268"/>
      <c r="M45" s="87"/>
      <c r="N45" s="87"/>
    </row>
    <row r="46" spans="1:14">
      <c r="A46" s="198">
        <f t="shared" si="1"/>
        <v>16</v>
      </c>
      <c r="B46" s="1265" t="s">
        <v>1519</v>
      </c>
      <c r="C46" s="847" t="s">
        <v>828</v>
      </c>
      <c r="D46" s="1485">
        <v>252290</v>
      </c>
      <c r="E46" s="851">
        <f>+D46</f>
        <v>252290</v>
      </c>
      <c r="F46" s="850"/>
      <c r="G46" s="851"/>
      <c r="H46" s="282"/>
      <c r="I46" s="871"/>
      <c r="J46" s="871"/>
      <c r="K46" s="851">
        <f t="shared" si="0"/>
        <v>0</v>
      </c>
      <c r="L46" s="1268"/>
      <c r="M46" s="87"/>
      <c r="N46" s="87"/>
    </row>
    <row r="47" spans="1:14" ht="25.5">
      <c r="A47" s="198">
        <f t="shared" si="1"/>
        <v>17</v>
      </c>
      <c r="B47" s="847" t="s">
        <v>832</v>
      </c>
      <c r="C47" s="847" t="s">
        <v>833</v>
      </c>
      <c r="D47" s="848">
        <v>-91476551</v>
      </c>
      <c r="E47" s="851">
        <f>D47</f>
        <v>-91476551</v>
      </c>
      <c r="F47" s="850"/>
      <c r="G47" s="851"/>
      <c r="H47" s="282"/>
      <c r="I47" s="851"/>
      <c r="J47" s="851"/>
      <c r="K47" s="851">
        <f t="shared" si="0"/>
        <v>0</v>
      </c>
      <c r="L47" s="1268" t="s">
        <v>1016</v>
      </c>
      <c r="M47" s="87"/>
      <c r="N47" s="87"/>
    </row>
    <row r="48" spans="1:14">
      <c r="A48" s="198">
        <f t="shared" si="1"/>
        <v>18</v>
      </c>
      <c r="B48" s="854">
        <v>1650016</v>
      </c>
      <c r="C48" s="847" t="s">
        <v>1017</v>
      </c>
      <c r="D48" s="848">
        <v>0</v>
      </c>
      <c r="E48" s="851">
        <f>+D48</f>
        <v>0</v>
      </c>
      <c r="F48" s="850"/>
      <c r="G48" s="851"/>
      <c r="H48" s="282"/>
      <c r="I48" s="872"/>
      <c r="J48" s="872"/>
      <c r="K48" s="851">
        <f t="shared" si="0"/>
        <v>0</v>
      </c>
      <c r="L48" s="1268" t="s">
        <v>1018</v>
      </c>
      <c r="M48" s="87"/>
      <c r="N48" s="87"/>
    </row>
    <row r="49" spans="1:14" ht="25.5">
      <c r="A49" s="198">
        <f t="shared" si="1"/>
        <v>19</v>
      </c>
      <c r="B49" s="854">
        <v>1650021</v>
      </c>
      <c r="C49" s="847" t="s">
        <v>835</v>
      </c>
      <c r="D49" s="1485">
        <v>699850</v>
      </c>
      <c r="E49" s="851"/>
      <c r="F49" s="850"/>
      <c r="G49" s="851"/>
      <c r="H49" s="282"/>
      <c r="I49" s="1485">
        <v>198738</v>
      </c>
      <c r="J49" s="1485">
        <v>501112</v>
      </c>
      <c r="K49" s="851">
        <f t="shared" si="0"/>
        <v>699850</v>
      </c>
      <c r="L49" s="1268" t="s">
        <v>1019</v>
      </c>
      <c r="M49" s="87"/>
      <c r="N49" s="87"/>
    </row>
    <row r="50" spans="1:14">
      <c r="A50" s="198">
        <f t="shared" si="1"/>
        <v>20</v>
      </c>
      <c r="B50" s="854">
        <v>1650023</v>
      </c>
      <c r="C50" s="847" t="s">
        <v>1020</v>
      </c>
      <c r="D50" s="1485">
        <v>64328</v>
      </c>
      <c r="E50" s="851">
        <f>+D50</f>
        <v>64328</v>
      </c>
      <c r="F50" s="850"/>
      <c r="G50" s="851"/>
      <c r="H50" s="282"/>
      <c r="I50" s="851"/>
      <c r="J50" s="851"/>
      <c r="K50" s="851">
        <f t="shared" si="0"/>
        <v>0</v>
      </c>
      <c r="L50" s="855"/>
      <c r="M50" s="87"/>
      <c r="N50" s="87"/>
    </row>
    <row r="51" spans="1:14">
      <c r="A51" s="198">
        <f t="shared" si="1"/>
        <v>21</v>
      </c>
      <c r="B51" s="854">
        <v>1650028</v>
      </c>
      <c r="C51" s="847" t="s">
        <v>1309</v>
      </c>
      <c r="D51" s="848">
        <v>0</v>
      </c>
      <c r="E51" s="851">
        <f>+D51</f>
        <v>0</v>
      </c>
      <c r="F51" s="850"/>
      <c r="G51" s="851"/>
      <c r="H51" s="282"/>
      <c r="I51"/>
      <c r="J51"/>
      <c r="K51" s="851">
        <f t="shared" ref="K51:K58" si="2">+G51+I51+J51</f>
        <v>0</v>
      </c>
      <c r="L51" s="855"/>
      <c r="M51" s="87"/>
      <c r="N51" s="87"/>
    </row>
    <row r="52" spans="1:14">
      <c r="A52" s="198">
        <f t="shared" si="1"/>
        <v>22</v>
      </c>
      <c r="B52" s="854">
        <v>1650031</v>
      </c>
      <c r="C52" s="847" t="s">
        <v>837</v>
      </c>
      <c r="D52" s="848">
        <v>0</v>
      </c>
      <c r="E52" s="851"/>
      <c r="F52" s="850"/>
      <c r="G52" s="851"/>
      <c r="H52" s="282"/>
      <c r="I52" s="851"/>
      <c r="J52" s="851">
        <f t="shared" ref="J52:J57" si="3">+D52</f>
        <v>0</v>
      </c>
      <c r="K52" s="851">
        <f t="shared" si="2"/>
        <v>0</v>
      </c>
      <c r="L52" s="855"/>
      <c r="M52" s="87"/>
      <c r="N52" s="87"/>
    </row>
    <row r="53" spans="1:14">
      <c r="A53" s="198">
        <f t="shared" si="1"/>
        <v>23</v>
      </c>
      <c r="B53" s="854">
        <v>1650032</v>
      </c>
      <c r="C53" s="847" t="s">
        <v>1021</v>
      </c>
      <c r="D53" s="848">
        <v>0</v>
      </c>
      <c r="E53" s="851"/>
      <c r="F53" s="850"/>
      <c r="G53" s="851"/>
      <c r="H53" s="282"/>
      <c r="I53" s="851"/>
      <c r="J53" s="851">
        <f t="shared" si="3"/>
        <v>0</v>
      </c>
      <c r="K53" s="851">
        <f t="shared" si="2"/>
        <v>0</v>
      </c>
      <c r="L53" s="855"/>
      <c r="M53" s="87"/>
      <c r="N53" s="87"/>
    </row>
    <row r="54" spans="1:14">
      <c r="A54" s="198">
        <f t="shared" si="1"/>
        <v>24</v>
      </c>
      <c r="B54" s="854">
        <v>1650033</v>
      </c>
      <c r="C54" s="847" t="s">
        <v>1022</v>
      </c>
      <c r="D54" s="848">
        <v>0</v>
      </c>
      <c r="E54" s="851"/>
      <c r="F54" s="850"/>
      <c r="G54" s="851"/>
      <c r="H54" s="282"/>
      <c r="I54" s="851"/>
      <c r="J54" s="851">
        <f t="shared" si="3"/>
        <v>0</v>
      </c>
      <c r="K54" s="851">
        <f t="shared" si="2"/>
        <v>0</v>
      </c>
      <c r="L54" s="855"/>
      <c r="M54" s="87"/>
      <c r="N54" s="87"/>
    </row>
    <row r="55" spans="1:14">
      <c r="A55" s="198">
        <f t="shared" si="1"/>
        <v>25</v>
      </c>
      <c r="B55" s="854">
        <v>1650034</v>
      </c>
      <c r="C55" s="847" t="s">
        <v>1023</v>
      </c>
      <c r="D55" s="848">
        <v>0</v>
      </c>
      <c r="E55" s="851"/>
      <c r="F55" s="850"/>
      <c r="G55" s="851"/>
      <c r="H55" s="282"/>
      <c r="I55" s="851"/>
      <c r="J55" s="851">
        <f t="shared" si="3"/>
        <v>0</v>
      </c>
      <c r="K55" s="851">
        <f t="shared" si="2"/>
        <v>0</v>
      </c>
      <c r="L55" s="855"/>
      <c r="M55" s="87"/>
      <c r="N55" s="87"/>
    </row>
    <row r="56" spans="1:14">
      <c r="A56" s="198">
        <f t="shared" si="1"/>
        <v>26</v>
      </c>
      <c r="B56" s="854">
        <v>1650035</v>
      </c>
      <c r="C56" s="847" t="s">
        <v>838</v>
      </c>
      <c r="D56" s="1485">
        <v>19932575</v>
      </c>
      <c r="E56" s="851">
        <f>+D56</f>
        <v>19932575</v>
      </c>
      <c r="F56" s="850"/>
      <c r="G56" s="851"/>
      <c r="H56" s="282"/>
      <c r="I56" s="851"/>
      <c r="J56" s="852">
        <v>0</v>
      </c>
      <c r="K56" s="851">
        <f t="shared" si="2"/>
        <v>0</v>
      </c>
      <c r="L56" s="855"/>
      <c r="M56" s="87"/>
      <c r="N56" s="87"/>
    </row>
    <row r="57" spans="1:14">
      <c r="A57" s="198">
        <f t="shared" si="1"/>
        <v>27</v>
      </c>
      <c r="B57" s="854">
        <v>1650036</v>
      </c>
      <c r="C57" s="847" t="s">
        <v>839</v>
      </c>
      <c r="D57" s="848">
        <v>0</v>
      </c>
      <c r="E57" s="851"/>
      <c r="F57" s="850"/>
      <c r="G57" s="851"/>
      <c r="H57" s="282"/>
      <c r="I57" s="851"/>
      <c r="J57" s="852">
        <f t="shared" si="3"/>
        <v>0</v>
      </c>
      <c r="K57" s="851">
        <f t="shared" si="2"/>
        <v>0</v>
      </c>
      <c r="L57" s="855"/>
      <c r="M57" s="87"/>
      <c r="N57" s="87"/>
    </row>
    <row r="58" spans="1:14">
      <c r="A58" s="198">
        <f t="shared" si="1"/>
        <v>28</v>
      </c>
      <c r="B58" s="854">
        <v>1650037</v>
      </c>
      <c r="C58" s="847" t="s">
        <v>1024</v>
      </c>
      <c r="D58" s="1485">
        <v>-19932575</v>
      </c>
      <c r="E58" s="851">
        <f>+D58</f>
        <v>-19932575</v>
      </c>
      <c r="F58" s="850"/>
      <c r="G58" s="851"/>
      <c r="H58" s="282"/>
      <c r="I58" s="851"/>
      <c r="J58" s="852"/>
      <c r="K58" s="851">
        <f t="shared" si="2"/>
        <v>0</v>
      </c>
      <c r="L58" s="855"/>
      <c r="M58" s="87"/>
      <c r="N58" s="87"/>
    </row>
    <row r="59" spans="1:14">
      <c r="A59" s="198">
        <f t="shared" si="1"/>
        <v>29</v>
      </c>
      <c r="B59" s="854"/>
      <c r="C59" s="847"/>
      <c r="D59" s="848"/>
      <c r="E59" s="851"/>
      <c r="F59" s="850"/>
      <c r="G59" s="851"/>
      <c r="H59" s="282"/>
      <c r="I59" s="851"/>
      <c r="J59" s="852">
        <f>+D59</f>
        <v>0</v>
      </c>
      <c r="K59" s="851">
        <f>+G59+I59+J59</f>
        <v>0</v>
      </c>
      <c r="L59" s="855"/>
      <c r="M59" s="87"/>
      <c r="N59" s="87"/>
    </row>
    <row r="60" spans="1:14">
      <c r="A60" s="198">
        <f t="shared" si="1"/>
        <v>30</v>
      </c>
      <c r="B60" s="854"/>
      <c r="C60" s="847"/>
      <c r="D60" s="848"/>
      <c r="E60" s="851"/>
      <c r="F60" s="850"/>
      <c r="G60" s="851"/>
      <c r="H60" s="282"/>
      <c r="I60" s="851"/>
      <c r="J60" s="852"/>
      <c r="K60" s="851">
        <f>+G60+I60+J60</f>
        <v>0</v>
      </c>
      <c r="L60" s="855"/>
      <c r="M60" s="87"/>
      <c r="N60" s="87"/>
    </row>
    <row r="61" spans="1:14">
      <c r="A61" s="198">
        <f t="shared" si="1"/>
        <v>31</v>
      </c>
      <c r="B61" s="854"/>
      <c r="C61" s="847"/>
      <c r="D61" s="848"/>
      <c r="E61" s="851"/>
      <c r="F61" s="850"/>
      <c r="G61" s="851"/>
      <c r="H61" s="282"/>
      <c r="I61" s="851"/>
      <c r="J61" s="852"/>
      <c r="K61" s="851">
        <f>+G61+I61+J61</f>
        <v>0</v>
      </c>
      <c r="L61" s="855"/>
      <c r="M61" s="87"/>
      <c r="N61" s="87"/>
    </row>
    <row r="62" spans="1:14">
      <c r="A62" s="198">
        <f t="shared" si="1"/>
        <v>32</v>
      </c>
      <c r="B62" s="854"/>
      <c r="C62" s="847"/>
      <c r="D62" s="848"/>
      <c r="E62" s="851"/>
      <c r="F62" s="850">
        <f>+F96</f>
        <v>0</v>
      </c>
      <c r="G62" s="851"/>
      <c r="H62" s="850">
        <f>+H96</f>
        <v>0</v>
      </c>
      <c r="I62" s="851"/>
      <c r="J62" s="853"/>
      <c r="K62" s="852">
        <f>+G62+I62+J62</f>
        <v>0</v>
      </c>
      <c r="L62" s="855"/>
      <c r="M62" s="87"/>
      <c r="N62" s="87"/>
    </row>
    <row r="63" spans="1:14">
      <c r="A63" s="198">
        <f t="shared" si="1"/>
        <v>33</v>
      </c>
      <c r="B63" s="854"/>
      <c r="C63" s="847"/>
      <c r="D63" s="848"/>
      <c r="E63" s="851"/>
      <c r="F63" s="850">
        <f>+F97</f>
        <v>0</v>
      </c>
      <c r="G63" s="851"/>
      <c r="H63" s="850">
        <f>+H97</f>
        <v>0</v>
      </c>
      <c r="I63" s="851"/>
      <c r="J63" s="853"/>
      <c r="K63" s="852">
        <f>+G63+I63+J63</f>
        <v>0</v>
      </c>
      <c r="L63" s="855"/>
      <c r="M63" s="87"/>
      <c r="N63" s="87"/>
    </row>
    <row r="64" spans="1:14" ht="13.5" thickBot="1">
      <c r="A64" s="91"/>
      <c r="B64" s="859"/>
      <c r="C64" s="859"/>
      <c r="D64" s="860"/>
      <c r="E64" s="861"/>
      <c r="F64" s="862"/>
      <c r="G64" s="861"/>
      <c r="H64" s="862"/>
      <c r="I64" s="861"/>
      <c r="J64" s="861"/>
      <c r="K64" s="861"/>
      <c r="L64" s="498"/>
      <c r="M64" s="87"/>
      <c r="N64" s="87"/>
    </row>
    <row r="65" spans="1:15">
      <c r="A65" s="91">
        <f>+A63+1</f>
        <v>34</v>
      </c>
      <c r="B65" s="346"/>
      <c r="C65" s="62" t="s">
        <v>210</v>
      </c>
      <c r="D65" s="333">
        <f>SUM(D39:D64)</f>
        <v>7943403</v>
      </c>
      <c r="E65" s="280">
        <f>SUM(E39:E64)</f>
        <v>-87039053</v>
      </c>
      <c r="F65" s="282"/>
      <c r="G65" s="280">
        <f>SUM(G39:G64)</f>
        <v>0</v>
      </c>
      <c r="H65" s="282"/>
      <c r="I65" s="280">
        <f>SUM(I39:I64)</f>
        <v>2460594</v>
      </c>
      <c r="J65" s="280">
        <f>SUM(J39:J64)</f>
        <v>92521862</v>
      </c>
      <c r="K65" s="280">
        <f>SUM(K39:K64)</f>
        <v>94982456</v>
      </c>
      <c r="L65" s="38"/>
      <c r="M65" s="87"/>
      <c r="N65" s="87"/>
    </row>
    <row r="66" spans="1:15">
      <c r="A66" s="91"/>
      <c r="B66" s="346"/>
      <c r="C66" s="62"/>
      <c r="D66" s="376"/>
      <c r="E66" s="287"/>
      <c r="F66" s="282"/>
      <c r="G66" s="287"/>
      <c r="H66" s="282"/>
      <c r="I66" s="287"/>
      <c r="J66" s="287"/>
      <c r="K66" s="287"/>
      <c r="L66" s="38"/>
      <c r="M66" s="87"/>
      <c r="N66" s="87"/>
    </row>
    <row r="67" spans="1:15" ht="18">
      <c r="A67" s="91"/>
      <c r="B67" s="288"/>
      <c r="C67" s="289"/>
      <c r="D67" s="329"/>
      <c r="E67" s="289"/>
      <c r="F67" s="289"/>
      <c r="G67" s="289"/>
      <c r="H67" s="289"/>
      <c r="I67" s="289"/>
      <c r="J67" s="289"/>
      <c r="K67" s="38"/>
      <c r="L67" s="38"/>
      <c r="M67" s="38"/>
      <c r="N67" s="38"/>
      <c r="O67" s="38"/>
    </row>
    <row r="68" spans="1:15" ht="18">
      <c r="A68" s="91"/>
      <c r="B68" s="1575" t="str">
        <f>"Prepayments Account 165 - Balance @ 12/31/"&amp;D70&amp;""</f>
        <v>Prepayments Account 165 - Balance @ 12/31/2018</v>
      </c>
      <c r="C68" s="1576"/>
      <c r="D68" s="1576"/>
      <c r="E68" s="1576"/>
      <c r="F68" s="1576"/>
      <c r="G68" s="1576"/>
      <c r="H68" s="1576"/>
      <c r="I68" s="1576"/>
      <c r="J68" s="1576"/>
      <c r="K68" s="95"/>
      <c r="L68" s="96"/>
      <c r="M68" s="87"/>
      <c r="N68" s="38"/>
      <c r="O68" s="38"/>
    </row>
    <row r="69" spans="1:15">
      <c r="A69" s="91"/>
      <c r="B69" s="346"/>
      <c r="C69" s="55"/>
      <c r="D69" s="290"/>
      <c r="E69" s="43"/>
      <c r="G69" s="43" t="s">
        <v>269</v>
      </c>
      <c r="I69" s="41"/>
      <c r="J69" s="41"/>
      <c r="K69" s="41" t="s">
        <v>354</v>
      </c>
      <c r="L69" s="38"/>
      <c r="M69" s="87"/>
      <c r="N69" s="38"/>
      <c r="O69" s="38"/>
    </row>
    <row r="70" spans="1:15">
      <c r="A70" s="91"/>
      <c r="B70" s="346"/>
      <c r="C70" s="291"/>
      <c r="D70" s="112">
        <f>+D36-1</f>
        <v>2018</v>
      </c>
      <c r="E70" s="41" t="s">
        <v>231</v>
      </c>
      <c r="G70" s="41" t="s">
        <v>292</v>
      </c>
      <c r="I70" s="41" t="s">
        <v>225</v>
      </c>
      <c r="J70" s="41" t="s">
        <v>337</v>
      </c>
      <c r="K70" s="41" t="s">
        <v>382</v>
      </c>
      <c r="L70" s="38"/>
      <c r="M70" s="87"/>
      <c r="N70" s="38"/>
      <c r="O70" s="38"/>
    </row>
    <row r="71" spans="1:15">
      <c r="A71" s="91">
        <f>+A65+1</f>
        <v>35</v>
      </c>
      <c r="B71" s="44" t="s">
        <v>272</v>
      </c>
      <c r="C71" s="44" t="s">
        <v>343</v>
      </c>
      <c r="D71" s="44" t="s">
        <v>270</v>
      </c>
      <c r="E71" s="44" t="s">
        <v>209</v>
      </c>
      <c r="G71" s="44" t="s">
        <v>226</v>
      </c>
      <c r="I71" s="44" t="s">
        <v>226</v>
      </c>
      <c r="J71" s="44" t="s">
        <v>226</v>
      </c>
      <c r="K71" s="44" t="s">
        <v>227</v>
      </c>
      <c r="L71" s="44" t="s">
        <v>254</v>
      </c>
      <c r="M71" s="87"/>
      <c r="N71" s="38"/>
      <c r="O71" s="38"/>
    </row>
    <row r="72" spans="1:15">
      <c r="A72" s="91"/>
      <c r="B72" s="346"/>
      <c r="C72" s="55"/>
      <c r="D72" s="55"/>
      <c r="E72" s="55"/>
      <c r="G72" s="55"/>
      <c r="I72" s="55"/>
      <c r="J72" s="55"/>
      <c r="K72" s="55"/>
      <c r="L72" s="38"/>
      <c r="M72" s="87"/>
      <c r="N72" s="38"/>
      <c r="O72" s="38"/>
    </row>
    <row r="73" spans="1:15" ht="114.75">
      <c r="A73" s="91">
        <f>+A71+1</f>
        <v>36</v>
      </c>
      <c r="B73" s="847" t="s">
        <v>817</v>
      </c>
      <c r="C73" s="847" t="s">
        <v>818</v>
      </c>
      <c r="D73" s="1485">
        <v>894252</v>
      </c>
      <c r="E73" s="849"/>
      <c r="F73" s="850">
        <f>+F113</f>
        <v>0</v>
      </c>
      <c r="G73" s="851"/>
      <c r="H73" s="850">
        <f>+H113</f>
        <v>0</v>
      </c>
      <c r="I73" s="1485">
        <v>350053</v>
      </c>
      <c r="J73" s="1485">
        <v>544199</v>
      </c>
      <c r="K73" s="851">
        <f t="shared" ref="K73:K98" si="4">+G73+I73+J73</f>
        <v>894252</v>
      </c>
      <c r="L73" s="1268" t="s">
        <v>1010</v>
      </c>
      <c r="M73" s="87"/>
      <c r="N73" s="38"/>
      <c r="O73" s="38"/>
    </row>
    <row r="74" spans="1:15">
      <c r="A74" s="91">
        <f t="shared" ref="A74:A104" si="5">+A73+1</f>
        <v>37</v>
      </c>
      <c r="B74" s="847" t="s">
        <v>1011</v>
      </c>
      <c r="C74" s="847" t="s">
        <v>1012</v>
      </c>
      <c r="D74" s="848">
        <v>0</v>
      </c>
      <c r="E74" s="849"/>
      <c r="F74" s="850">
        <f>+F114</f>
        <v>0</v>
      </c>
      <c r="G74" s="851"/>
      <c r="H74" s="850">
        <f>+H114</f>
        <v>0</v>
      </c>
      <c r="I74" s="851"/>
      <c r="J74" s="851"/>
      <c r="K74" s="851">
        <f t="shared" si="4"/>
        <v>0</v>
      </c>
      <c r="L74" s="1268"/>
      <c r="M74" s="87"/>
      <c r="N74" s="38"/>
      <c r="O74" s="38"/>
    </row>
    <row r="75" spans="1:15">
      <c r="A75" s="91">
        <f t="shared" si="5"/>
        <v>38</v>
      </c>
      <c r="B75" s="1265" t="s">
        <v>819</v>
      </c>
      <c r="C75" s="847" t="s">
        <v>820</v>
      </c>
      <c r="D75" s="848">
        <v>0</v>
      </c>
      <c r="E75" s="849">
        <f>+D75</f>
        <v>0</v>
      </c>
      <c r="F75" s="850">
        <f>+F115</f>
        <v>0</v>
      </c>
      <c r="G75" s="851"/>
      <c r="H75" s="850">
        <f>+H115</f>
        <v>0</v>
      </c>
      <c r="I75" s="851"/>
      <c r="J75" s="851"/>
      <c r="K75" s="851">
        <f t="shared" si="4"/>
        <v>0</v>
      </c>
      <c r="L75" s="1268"/>
      <c r="M75" s="87"/>
      <c r="N75" s="38"/>
      <c r="O75" s="38"/>
    </row>
    <row r="76" spans="1:15" ht="89.25">
      <c r="A76" s="91">
        <f t="shared" si="5"/>
        <v>39</v>
      </c>
      <c r="B76" s="847" t="s">
        <v>821</v>
      </c>
      <c r="C76" s="847" t="s">
        <v>822</v>
      </c>
      <c r="D76" s="1485">
        <v>4004763</v>
      </c>
      <c r="E76" s="849">
        <f>+D76</f>
        <v>4004763</v>
      </c>
      <c r="F76" s="850">
        <f>+F116</f>
        <v>0</v>
      </c>
      <c r="G76" s="851"/>
      <c r="H76" s="850">
        <f>+H116</f>
        <v>0</v>
      </c>
      <c r="I76" s="851"/>
      <c r="J76" s="851"/>
      <c r="K76" s="851">
        <f t="shared" si="4"/>
        <v>0</v>
      </c>
      <c r="L76" s="1268" t="s">
        <v>1013</v>
      </c>
      <c r="M76" s="87"/>
      <c r="N76" s="38"/>
      <c r="O76" s="38"/>
    </row>
    <row r="77" spans="1:15" ht="25.5">
      <c r="A77" s="91">
        <f t="shared" si="5"/>
        <v>40</v>
      </c>
      <c r="B77" s="847" t="s">
        <v>823</v>
      </c>
      <c r="C77" s="847" t="s">
        <v>1308</v>
      </c>
      <c r="D77" s="1485">
        <v>116117</v>
      </c>
      <c r="E77" s="851">
        <f>+D77</f>
        <v>116117</v>
      </c>
      <c r="F77" s="850">
        <f>+F117</f>
        <v>0</v>
      </c>
      <c r="G77" s="851"/>
      <c r="H77" s="850">
        <f>+H117</f>
        <v>0</v>
      </c>
      <c r="I77" s="851"/>
      <c r="J77" s="851"/>
      <c r="K77" s="851">
        <f t="shared" si="4"/>
        <v>0</v>
      </c>
      <c r="L77" s="1268" t="s">
        <v>1014</v>
      </c>
      <c r="M77" s="87"/>
      <c r="N77" s="38"/>
      <c r="O77" s="38"/>
    </row>
    <row r="78" spans="1:15" ht="25.5">
      <c r="A78" s="91">
        <f t="shared" si="5"/>
        <v>41</v>
      </c>
      <c r="B78" s="847" t="s">
        <v>824</v>
      </c>
      <c r="C78" s="847" t="s">
        <v>825</v>
      </c>
      <c r="D78" s="1485">
        <v>91476551</v>
      </c>
      <c r="E78" s="852"/>
      <c r="F78" s="850"/>
      <c r="G78" s="852"/>
      <c r="H78" s="282"/>
      <c r="I78" s="852"/>
      <c r="J78" s="852">
        <f>D78</f>
        <v>91476551</v>
      </c>
      <c r="K78" s="851">
        <f t="shared" si="4"/>
        <v>91476551</v>
      </c>
      <c r="L78" s="1268" t="s">
        <v>1015</v>
      </c>
      <c r="M78" s="87"/>
      <c r="N78" s="38"/>
      <c r="O78" s="38"/>
    </row>
    <row r="79" spans="1:15">
      <c r="A79" s="91">
        <f t="shared" si="5"/>
        <v>42</v>
      </c>
      <c r="B79" s="1265" t="s">
        <v>1518</v>
      </c>
      <c r="C79" s="847" t="s">
        <v>826</v>
      </c>
      <c r="D79" s="1485">
        <v>1911803</v>
      </c>
      <c r="E79" s="851"/>
      <c r="F79" s="850"/>
      <c r="G79" s="851"/>
      <c r="H79" s="282"/>
      <c r="I79" s="851">
        <f>D79</f>
        <v>1911803</v>
      </c>
      <c r="J79" s="851"/>
      <c r="K79" s="851">
        <f t="shared" si="4"/>
        <v>1911803</v>
      </c>
      <c r="L79" s="1268"/>
      <c r="M79" s="87"/>
      <c r="N79" s="38"/>
      <c r="O79" s="38"/>
    </row>
    <row r="80" spans="1:15">
      <c r="A80" s="91">
        <f t="shared" si="5"/>
        <v>43</v>
      </c>
      <c r="B80" s="1265" t="s">
        <v>1519</v>
      </c>
      <c r="C80" s="847" t="s">
        <v>828</v>
      </c>
      <c r="D80" s="1485">
        <v>252290</v>
      </c>
      <c r="E80" s="851">
        <f>+D80</f>
        <v>252290</v>
      </c>
      <c r="F80" s="850"/>
      <c r="G80" s="851"/>
      <c r="H80" s="282"/>
      <c r="I80" s="871"/>
      <c r="J80" s="871"/>
      <c r="K80" s="851">
        <f t="shared" si="4"/>
        <v>0</v>
      </c>
      <c r="L80" s="1268"/>
      <c r="M80" s="87"/>
      <c r="N80" s="38"/>
      <c r="O80" s="38"/>
    </row>
    <row r="81" spans="1:15" ht="25.5">
      <c r="A81" s="91">
        <f t="shared" si="5"/>
        <v>44</v>
      </c>
      <c r="B81" s="847" t="s">
        <v>832</v>
      </c>
      <c r="C81" s="847" t="s">
        <v>833</v>
      </c>
      <c r="D81" s="848">
        <v>-91476551</v>
      </c>
      <c r="E81" s="851">
        <f>D81</f>
        <v>-91476551</v>
      </c>
      <c r="F81" s="850"/>
      <c r="G81" s="851"/>
      <c r="H81" s="282"/>
      <c r="I81" s="851"/>
      <c r="J81" s="851"/>
      <c r="K81" s="851">
        <f t="shared" si="4"/>
        <v>0</v>
      </c>
      <c r="L81" s="1268" t="s">
        <v>1016</v>
      </c>
      <c r="M81" s="87"/>
      <c r="N81" s="38"/>
      <c r="O81" s="38"/>
    </row>
    <row r="82" spans="1:15">
      <c r="A82" s="91">
        <f t="shared" si="5"/>
        <v>45</v>
      </c>
      <c r="B82" s="854">
        <v>1650016</v>
      </c>
      <c r="C82" s="847" t="s">
        <v>1017</v>
      </c>
      <c r="D82" s="848">
        <v>0</v>
      </c>
      <c r="E82" s="851">
        <f>+D82</f>
        <v>0</v>
      </c>
      <c r="F82" s="850"/>
      <c r="G82" s="851"/>
      <c r="H82" s="282"/>
      <c r="I82" s="872"/>
      <c r="J82" s="872"/>
      <c r="K82" s="851">
        <f t="shared" si="4"/>
        <v>0</v>
      </c>
      <c r="L82" s="1268" t="s">
        <v>1018</v>
      </c>
      <c r="M82" s="87"/>
      <c r="N82" s="38"/>
      <c r="O82" s="38"/>
    </row>
    <row r="83" spans="1:15" ht="25.5">
      <c r="A83" s="91">
        <f t="shared" si="5"/>
        <v>46</v>
      </c>
      <c r="B83" s="854">
        <v>1650021</v>
      </c>
      <c r="C83" s="847" t="s">
        <v>835</v>
      </c>
      <c r="D83" s="1485">
        <v>699850</v>
      </c>
      <c r="E83" s="851"/>
      <c r="F83" s="850"/>
      <c r="G83" s="851"/>
      <c r="H83" s="282"/>
      <c r="I83" s="1485">
        <v>198738</v>
      </c>
      <c r="J83" s="1485">
        <v>501112</v>
      </c>
      <c r="K83" s="851">
        <f t="shared" si="4"/>
        <v>699850</v>
      </c>
      <c r="L83" s="1268" t="s">
        <v>1019</v>
      </c>
      <c r="M83" s="87"/>
      <c r="N83" s="38"/>
      <c r="O83" s="38"/>
    </row>
    <row r="84" spans="1:15">
      <c r="A84" s="91">
        <f t="shared" si="5"/>
        <v>47</v>
      </c>
      <c r="B84" s="854">
        <v>1650023</v>
      </c>
      <c r="C84" s="847" t="s">
        <v>1020</v>
      </c>
      <c r="D84" s="1485">
        <v>64328</v>
      </c>
      <c r="E84" s="851">
        <f>+D84</f>
        <v>64328</v>
      </c>
      <c r="F84" s="850"/>
      <c r="G84" s="851"/>
      <c r="H84" s="282"/>
      <c r="I84" s="851"/>
      <c r="J84" s="851"/>
      <c r="K84" s="851">
        <f t="shared" si="4"/>
        <v>0</v>
      </c>
      <c r="L84" s="855"/>
      <c r="M84" s="87"/>
      <c r="N84" s="38"/>
      <c r="O84" s="38"/>
    </row>
    <row r="85" spans="1:15">
      <c r="A85" s="91">
        <f t="shared" si="5"/>
        <v>48</v>
      </c>
      <c r="B85" s="854">
        <v>1650028</v>
      </c>
      <c r="C85" s="847" t="s">
        <v>1309</v>
      </c>
      <c r="D85" s="848">
        <v>0</v>
      </c>
      <c r="E85" s="851">
        <f>+D85</f>
        <v>0</v>
      </c>
      <c r="F85" s="850"/>
      <c r="G85" s="851"/>
      <c r="H85" s="282"/>
      <c r="I85"/>
      <c r="J85"/>
      <c r="K85" s="851">
        <f t="shared" si="4"/>
        <v>0</v>
      </c>
      <c r="L85" s="855"/>
      <c r="M85" s="87"/>
      <c r="N85" s="38"/>
      <c r="O85" s="38"/>
    </row>
    <row r="86" spans="1:15">
      <c r="A86" s="91">
        <f t="shared" si="5"/>
        <v>49</v>
      </c>
      <c r="B86" s="854">
        <v>1650031</v>
      </c>
      <c r="C86" s="847" t="s">
        <v>837</v>
      </c>
      <c r="D86" s="848">
        <v>0</v>
      </c>
      <c r="E86" s="851"/>
      <c r="F86" s="850"/>
      <c r="G86" s="851"/>
      <c r="H86" s="282"/>
      <c r="I86" s="851"/>
      <c r="J86" s="851">
        <f t="shared" ref="J86:J91" si="6">+D86</f>
        <v>0</v>
      </c>
      <c r="K86" s="851">
        <f t="shared" si="4"/>
        <v>0</v>
      </c>
      <c r="L86" s="855"/>
      <c r="M86" s="87"/>
      <c r="N86" s="38"/>
      <c r="O86" s="38"/>
    </row>
    <row r="87" spans="1:15">
      <c r="A87" s="91">
        <f t="shared" si="5"/>
        <v>50</v>
      </c>
      <c r="B87" s="854">
        <v>1650032</v>
      </c>
      <c r="C87" s="847" t="s">
        <v>1021</v>
      </c>
      <c r="D87" s="848">
        <v>0</v>
      </c>
      <c r="E87" s="851"/>
      <c r="F87" s="850"/>
      <c r="G87" s="851"/>
      <c r="H87" s="282"/>
      <c r="I87" s="851"/>
      <c r="J87" s="851">
        <f t="shared" si="6"/>
        <v>0</v>
      </c>
      <c r="K87" s="851">
        <f t="shared" si="4"/>
        <v>0</v>
      </c>
      <c r="L87" s="855"/>
      <c r="M87" s="87"/>
      <c r="N87" s="38"/>
      <c r="O87" s="38"/>
    </row>
    <row r="88" spans="1:15">
      <c r="A88" s="91">
        <f t="shared" si="5"/>
        <v>51</v>
      </c>
      <c r="B88" s="854">
        <v>1650033</v>
      </c>
      <c r="C88" s="847" t="s">
        <v>1022</v>
      </c>
      <c r="D88" s="848">
        <v>0</v>
      </c>
      <c r="E88" s="851"/>
      <c r="F88" s="850"/>
      <c r="G88" s="851"/>
      <c r="H88" s="282"/>
      <c r="I88" s="851"/>
      <c r="J88" s="851">
        <f t="shared" si="6"/>
        <v>0</v>
      </c>
      <c r="K88" s="851">
        <f t="shared" si="4"/>
        <v>0</v>
      </c>
      <c r="L88" s="855"/>
      <c r="M88" s="87"/>
      <c r="N88" s="38"/>
      <c r="O88" s="38"/>
    </row>
    <row r="89" spans="1:15">
      <c r="A89" s="91">
        <f t="shared" si="5"/>
        <v>52</v>
      </c>
      <c r="B89" s="854">
        <v>1650034</v>
      </c>
      <c r="C89" s="847" t="s">
        <v>1023</v>
      </c>
      <c r="D89" s="848">
        <v>0</v>
      </c>
      <c r="E89" s="851"/>
      <c r="F89" s="850"/>
      <c r="G89" s="851"/>
      <c r="H89" s="282"/>
      <c r="I89" s="851"/>
      <c r="J89" s="851">
        <f t="shared" si="6"/>
        <v>0</v>
      </c>
      <c r="K89" s="851">
        <f t="shared" si="4"/>
        <v>0</v>
      </c>
      <c r="L89" s="855"/>
      <c r="M89" s="87"/>
      <c r="N89" s="38"/>
      <c r="O89" s="38"/>
    </row>
    <row r="90" spans="1:15">
      <c r="A90" s="91">
        <f t="shared" si="5"/>
        <v>53</v>
      </c>
      <c r="B90" s="854">
        <v>1650035</v>
      </c>
      <c r="C90" s="847" t="s">
        <v>838</v>
      </c>
      <c r="D90" s="1485">
        <v>19932575</v>
      </c>
      <c r="E90" s="851">
        <f>+D90</f>
        <v>19932575</v>
      </c>
      <c r="F90" s="850"/>
      <c r="G90" s="851"/>
      <c r="H90" s="282"/>
      <c r="I90" s="851"/>
      <c r="J90" s="852">
        <v>0</v>
      </c>
      <c r="K90" s="851">
        <f t="shared" si="4"/>
        <v>0</v>
      </c>
      <c r="L90" s="855"/>
      <c r="M90" s="87"/>
      <c r="N90" s="38"/>
      <c r="O90" s="38"/>
    </row>
    <row r="91" spans="1:15">
      <c r="A91" s="91">
        <f t="shared" si="5"/>
        <v>54</v>
      </c>
      <c r="B91" s="854">
        <v>1650036</v>
      </c>
      <c r="C91" s="847" t="s">
        <v>839</v>
      </c>
      <c r="D91" s="848">
        <v>0</v>
      </c>
      <c r="E91" s="851"/>
      <c r="F91" s="850"/>
      <c r="G91" s="851"/>
      <c r="H91" s="282"/>
      <c r="I91" s="851"/>
      <c r="J91" s="852">
        <f t="shared" si="6"/>
        <v>0</v>
      </c>
      <c r="K91" s="851">
        <f t="shared" si="4"/>
        <v>0</v>
      </c>
      <c r="L91" s="855"/>
      <c r="M91" s="87"/>
      <c r="N91" s="38"/>
      <c r="O91" s="38"/>
    </row>
    <row r="92" spans="1:15">
      <c r="A92" s="91">
        <f t="shared" si="5"/>
        <v>55</v>
      </c>
      <c r="B92" s="854">
        <v>1650037</v>
      </c>
      <c r="C92" s="847" t="s">
        <v>1024</v>
      </c>
      <c r="D92" s="1485">
        <v>-19932575</v>
      </c>
      <c r="E92" s="851">
        <f>+D92</f>
        <v>-19932575</v>
      </c>
      <c r="F92" s="850"/>
      <c r="G92" s="851"/>
      <c r="H92" s="282"/>
      <c r="I92" s="851"/>
      <c r="J92" s="852"/>
      <c r="K92" s="851">
        <f t="shared" si="4"/>
        <v>0</v>
      </c>
      <c r="L92" s="855"/>
      <c r="M92" s="87"/>
      <c r="N92" s="38"/>
      <c r="O92" s="38"/>
    </row>
    <row r="93" spans="1:15">
      <c r="A93" s="91">
        <f t="shared" si="5"/>
        <v>56</v>
      </c>
      <c r="B93" s="854"/>
      <c r="C93" s="847"/>
      <c r="D93" s="848"/>
      <c r="E93" s="851"/>
      <c r="F93" s="850"/>
      <c r="G93" s="851"/>
      <c r="H93" s="282"/>
      <c r="I93" s="851"/>
      <c r="J93" s="852">
        <f>+D93</f>
        <v>0</v>
      </c>
      <c r="K93" s="851">
        <f t="shared" si="4"/>
        <v>0</v>
      </c>
      <c r="L93" s="855"/>
      <c r="M93" s="87"/>
      <c r="N93" s="38"/>
      <c r="O93" s="38"/>
    </row>
    <row r="94" spans="1:15">
      <c r="A94" s="91">
        <f t="shared" si="5"/>
        <v>57</v>
      </c>
      <c r="B94" s="854"/>
      <c r="C94" s="847"/>
      <c r="D94" s="848"/>
      <c r="E94" s="851"/>
      <c r="F94" s="850"/>
      <c r="G94" s="851"/>
      <c r="H94" s="282"/>
      <c r="I94" s="851"/>
      <c r="J94" s="852"/>
      <c r="K94" s="851">
        <f t="shared" si="4"/>
        <v>0</v>
      </c>
      <c r="L94" s="855"/>
      <c r="M94" s="87"/>
      <c r="N94" s="38"/>
      <c r="O94" s="38"/>
    </row>
    <row r="95" spans="1:15">
      <c r="A95" s="91">
        <f t="shared" si="5"/>
        <v>58</v>
      </c>
      <c r="B95" s="854"/>
      <c r="C95" s="847"/>
      <c r="D95" s="848"/>
      <c r="E95" s="851"/>
      <c r="F95" s="850"/>
      <c r="G95" s="851"/>
      <c r="H95" s="282"/>
      <c r="I95" s="851"/>
      <c r="J95" s="852"/>
      <c r="K95" s="851">
        <f t="shared" si="4"/>
        <v>0</v>
      </c>
      <c r="L95" s="855"/>
      <c r="M95" s="87"/>
      <c r="N95" s="38"/>
      <c r="O95" s="38"/>
    </row>
    <row r="96" spans="1:15">
      <c r="A96" s="91">
        <f t="shared" si="5"/>
        <v>59</v>
      </c>
      <c r="B96" s="854"/>
      <c r="C96" s="847"/>
      <c r="D96" s="848"/>
      <c r="E96" s="851"/>
      <c r="F96" s="850">
        <f>+F136</f>
        <v>0</v>
      </c>
      <c r="G96" s="851"/>
      <c r="H96" s="850">
        <f>+H136</f>
        <v>0</v>
      </c>
      <c r="I96" s="851"/>
      <c r="J96" s="853"/>
      <c r="K96" s="852">
        <f t="shared" si="4"/>
        <v>0</v>
      </c>
      <c r="L96" s="855"/>
      <c r="M96" s="87"/>
      <c r="N96" s="38"/>
      <c r="O96" s="38"/>
    </row>
    <row r="97" spans="1:15">
      <c r="A97" s="91">
        <f t="shared" si="5"/>
        <v>60</v>
      </c>
      <c r="B97" s="854"/>
      <c r="C97" s="847"/>
      <c r="D97" s="848"/>
      <c r="E97" s="851"/>
      <c r="F97" s="850">
        <f>+F137</f>
        <v>0</v>
      </c>
      <c r="G97" s="851"/>
      <c r="H97" s="850">
        <f>+H137</f>
        <v>0</v>
      </c>
      <c r="I97" s="851"/>
      <c r="J97" s="853"/>
      <c r="K97" s="852">
        <f t="shared" si="4"/>
        <v>0</v>
      </c>
      <c r="L97" s="855"/>
      <c r="M97" s="87"/>
      <c r="N97" s="38"/>
      <c r="O97" s="38"/>
    </row>
    <row r="98" spans="1:15">
      <c r="A98" s="91">
        <f t="shared" si="5"/>
        <v>61</v>
      </c>
      <c r="B98" s="854"/>
      <c r="C98" s="847"/>
      <c r="D98" s="848"/>
      <c r="E98" s="851"/>
      <c r="F98" s="850">
        <f>+F138</f>
        <v>0</v>
      </c>
      <c r="G98" s="851"/>
      <c r="H98" s="850">
        <f>+H138</f>
        <v>0</v>
      </c>
      <c r="I98" s="851"/>
      <c r="J98" s="853"/>
      <c r="K98" s="852">
        <f t="shared" si="4"/>
        <v>0</v>
      </c>
      <c r="L98" s="855"/>
      <c r="M98" s="87"/>
      <c r="N98" s="38"/>
      <c r="O98" s="38"/>
    </row>
    <row r="99" spans="1:15" ht="15">
      <c r="A99" s="91">
        <f t="shared" si="5"/>
        <v>62</v>
      </c>
      <c r="B99" s="655"/>
      <c r="C99" s="655"/>
      <c r="D99" s="834"/>
      <c r="E99" s="843"/>
      <c r="F99" s="282"/>
      <c r="G99" s="843"/>
      <c r="H99" s="282"/>
      <c r="I99" s="843"/>
      <c r="J99" s="843"/>
      <c r="K99" s="780"/>
      <c r="L99" s="873"/>
      <c r="M99" s="87"/>
      <c r="N99" s="38"/>
      <c r="O99" s="38"/>
    </row>
    <row r="100" spans="1:15" ht="15">
      <c r="A100" s="91">
        <f t="shared" si="5"/>
        <v>63</v>
      </c>
      <c r="B100" s="655"/>
      <c r="C100" s="655"/>
      <c r="D100" s="834"/>
      <c r="E100" s="843"/>
      <c r="F100" s="282"/>
      <c r="G100" s="843"/>
      <c r="H100" s="282"/>
      <c r="I100" s="843"/>
      <c r="J100" s="843"/>
      <c r="K100" s="780"/>
      <c r="L100" s="873"/>
      <c r="M100" s="87"/>
      <c r="N100" s="38"/>
      <c r="O100" s="38"/>
    </row>
    <row r="101" spans="1:15" ht="15">
      <c r="A101" s="91">
        <f t="shared" si="5"/>
        <v>64</v>
      </c>
      <c r="B101" s="655"/>
      <c r="C101" s="655"/>
      <c r="D101" s="834"/>
      <c r="E101" s="843"/>
      <c r="F101" s="282"/>
      <c r="G101" s="843"/>
      <c r="H101" s="282"/>
      <c r="I101" s="843"/>
      <c r="J101" s="843"/>
      <c r="K101" s="780"/>
      <c r="L101" s="873"/>
      <c r="M101" s="87"/>
      <c r="N101" s="38"/>
      <c r="O101" s="38"/>
    </row>
    <row r="102" spans="1:15" ht="15">
      <c r="A102" s="91">
        <f t="shared" si="5"/>
        <v>65</v>
      </c>
      <c r="B102" s="655"/>
      <c r="C102" s="655"/>
      <c r="D102" s="834"/>
      <c r="E102"/>
      <c r="F102"/>
      <c r="G102"/>
      <c r="H102"/>
      <c r="I102"/>
      <c r="J102"/>
      <c r="K102"/>
      <c r="L102" s="873"/>
      <c r="M102" s="87"/>
      <c r="N102" s="38"/>
      <c r="O102" s="38"/>
    </row>
    <row r="103" spans="1:15" ht="15">
      <c r="A103" s="91">
        <f t="shared" si="5"/>
        <v>66</v>
      </c>
      <c r="B103" s="655"/>
      <c r="C103" s="655"/>
      <c r="D103" s="834"/>
      <c r="E103"/>
      <c r="F103"/>
      <c r="G103"/>
      <c r="H103"/>
      <c r="I103"/>
      <c r="J103"/>
      <c r="K103"/>
      <c r="L103" s="873"/>
      <c r="M103" s="87"/>
      <c r="N103" s="38"/>
      <c r="O103" s="38"/>
    </row>
    <row r="104" spans="1:15" ht="15">
      <c r="A104" s="91">
        <f t="shared" si="5"/>
        <v>67</v>
      </c>
      <c r="B104" s="655"/>
      <c r="C104" s="655"/>
      <c r="D104" s="834"/>
      <c r="E104"/>
      <c r="F104"/>
      <c r="G104"/>
      <c r="H104"/>
      <c r="I104"/>
      <c r="J104"/>
      <c r="K104"/>
      <c r="L104" s="873"/>
      <c r="M104" s="87"/>
      <c r="N104" s="38"/>
      <c r="O104" s="38"/>
    </row>
    <row r="105" spans="1:15" ht="13.5" thickBot="1">
      <c r="A105" s="91"/>
      <c r="B105" s="57"/>
      <c r="C105" s="278"/>
      <c r="D105" s="279"/>
      <c r="E105" s="279"/>
      <c r="F105" s="282"/>
      <c r="G105" s="279"/>
      <c r="H105" s="282"/>
      <c r="I105" s="279"/>
      <c r="J105" s="279"/>
      <c r="K105" s="279"/>
      <c r="L105" s="278"/>
      <c r="M105" s="87"/>
      <c r="N105" s="38"/>
      <c r="O105" s="38"/>
    </row>
    <row r="106" spans="1:15">
      <c r="A106" s="91">
        <f>+A104+1</f>
        <v>68</v>
      </c>
      <c r="B106" s="346"/>
      <c r="C106" s="948" t="s">
        <v>1135</v>
      </c>
      <c r="D106" s="280">
        <f>IF(SUM(D73:D105)=0,"",SUM(D73:D105))</f>
        <v>7943403</v>
      </c>
      <c r="E106" s="280">
        <f>IF(SUM(E73:E105)=0,"",SUM(E73:E105))</f>
        <v>-87039053</v>
      </c>
      <c r="F106" s="282"/>
      <c r="G106" s="280">
        <f>SUM(G66:G105)</f>
        <v>0</v>
      </c>
      <c r="H106" s="282"/>
      <c r="I106" s="280">
        <f>IF(SUM(I73:I105)=0,"",SUM(I73:I105))</f>
        <v>2460594</v>
      </c>
      <c r="J106" s="280">
        <f>SUM(J73:J105)</f>
        <v>92521862</v>
      </c>
      <c r="K106" s="280">
        <f>SUM(K73:K105)</f>
        <v>94982456</v>
      </c>
      <c r="L106" s="278"/>
      <c r="M106" s="87"/>
      <c r="N106" s="38"/>
      <c r="O106" s="38"/>
    </row>
    <row r="107" spans="1:15">
      <c r="A107" s="91"/>
      <c r="B107" s="91"/>
      <c r="C107" s="278"/>
      <c r="D107" s="376"/>
      <c r="E107" s="278"/>
      <c r="F107" s="278"/>
      <c r="G107" s="278"/>
      <c r="H107" s="278"/>
      <c r="I107" s="278"/>
      <c r="J107" s="278"/>
      <c r="K107" s="278"/>
      <c r="L107" s="278"/>
      <c r="M107" s="38"/>
      <c r="N107" s="38"/>
      <c r="O107" s="38"/>
    </row>
    <row r="108" spans="1:15">
      <c r="A108" s="38"/>
      <c r="B108" s="38"/>
      <c r="C108" s="38"/>
      <c r="D108" s="38"/>
      <c r="E108" s="38"/>
      <c r="F108" s="38"/>
      <c r="G108" s="38"/>
      <c r="H108" s="38"/>
      <c r="I108" s="172"/>
      <c r="J108" s="38"/>
      <c r="K108" s="38"/>
      <c r="L108" s="38"/>
      <c r="M108" s="38"/>
      <c r="N108" s="38"/>
      <c r="O108" s="38"/>
    </row>
    <row r="109" spans="1:15">
      <c r="A109" s="38"/>
      <c r="B109" s="38"/>
      <c r="C109" s="38"/>
      <c r="D109" s="38"/>
      <c r="E109" s="38"/>
      <c r="F109" s="38"/>
      <c r="G109" s="38"/>
      <c r="H109" s="38"/>
      <c r="I109" s="38"/>
      <c r="J109" s="38"/>
      <c r="K109" s="38"/>
      <c r="L109" s="38"/>
      <c r="M109" s="38"/>
      <c r="N109" s="38"/>
      <c r="O109" s="38"/>
    </row>
    <row r="110" spans="1:15">
      <c r="A110" s="38"/>
      <c r="B110" s="38"/>
      <c r="C110" s="38"/>
      <c r="D110" s="38"/>
      <c r="E110" s="38"/>
      <c r="F110" s="38"/>
      <c r="G110" s="38"/>
      <c r="H110" s="38"/>
      <c r="I110" s="38"/>
      <c r="J110" s="38"/>
      <c r="K110" s="38"/>
      <c r="L110" s="38"/>
      <c r="M110" s="38"/>
      <c r="N110" s="38"/>
      <c r="O110" s="38"/>
    </row>
    <row r="111" spans="1:15">
      <c r="A111" s="38"/>
      <c r="B111" s="38"/>
      <c r="C111" s="38"/>
      <c r="D111" s="38"/>
      <c r="E111" s="38"/>
      <c r="F111" s="38"/>
      <c r="G111" s="38"/>
      <c r="H111" s="38"/>
      <c r="I111" s="38"/>
      <c r="J111" s="38"/>
      <c r="K111" s="38"/>
      <c r="L111" s="38"/>
      <c r="M111" s="38"/>
      <c r="N111" s="38"/>
      <c r="O111" s="38"/>
    </row>
    <row r="112" spans="1:15">
      <c r="A112" s="38"/>
      <c r="B112" s="38"/>
      <c r="C112" s="38"/>
      <c r="D112" s="38"/>
      <c r="E112" s="38"/>
      <c r="F112" s="38"/>
      <c r="G112" s="38"/>
      <c r="H112" s="38"/>
      <c r="I112" s="38"/>
      <c r="J112" s="38"/>
      <c r="K112" s="38"/>
      <c r="L112" s="38"/>
      <c r="M112" s="38"/>
      <c r="N112" s="38"/>
      <c r="O112" s="38"/>
    </row>
    <row r="113" spans="1:15">
      <c r="A113" s="38"/>
      <c r="B113" s="38"/>
      <c r="C113" s="38"/>
      <c r="D113" s="38"/>
      <c r="E113" s="38"/>
      <c r="F113" s="38"/>
      <c r="G113" s="38"/>
      <c r="H113" s="38"/>
      <c r="I113" s="38"/>
      <c r="J113" s="38"/>
      <c r="K113" s="38"/>
      <c r="L113" s="38"/>
      <c r="M113" s="38"/>
      <c r="N113" s="38"/>
      <c r="O113" s="38"/>
    </row>
    <row r="114" spans="1:15">
      <c r="A114" s="38"/>
      <c r="B114" s="38"/>
      <c r="C114" s="38"/>
      <c r="D114" s="38"/>
      <c r="E114" s="38"/>
      <c r="F114" s="38"/>
      <c r="G114" s="38"/>
      <c r="H114" s="38"/>
      <c r="I114" s="38"/>
      <c r="J114" s="38"/>
      <c r="K114" s="38"/>
      <c r="L114" s="38"/>
      <c r="M114" s="38"/>
      <c r="N114" s="38"/>
      <c r="O114" s="38"/>
    </row>
    <row r="115" spans="1:15">
      <c r="A115" s="38"/>
      <c r="B115" s="38"/>
      <c r="C115" s="38"/>
      <c r="D115" s="38"/>
      <c r="E115" s="38"/>
      <c r="F115" s="38"/>
      <c r="G115" s="38"/>
      <c r="H115" s="38"/>
      <c r="I115" s="38"/>
      <c r="J115" s="38"/>
      <c r="K115" s="38"/>
      <c r="L115" s="38"/>
      <c r="M115" s="38"/>
      <c r="N115" s="38"/>
      <c r="O115" s="38"/>
    </row>
    <row r="116" spans="1:15">
      <c r="A116" s="38"/>
      <c r="B116" s="38"/>
      <c r="C116" s="38"/>
      <c r="D116" s="38"/>
      <c r="E116" s="38"/>
      <c r="F116" s="38"/>
      <c r="G116" s="38"/>
      <c r="H116" s="38"/>
      <c r="I116" s="38"/>
      <c r="J116" s="38"/>
      <c r="K116" s="38"/>
      <c r="L116" s="38"/>
      <c r="M116" s="38"/>
      <c r="N116" s="38"/>
      <c r="O116" s="38"/>
    </row>
    <row r="117" spans="1:15">
      <c r="A117" s="38"/>
      <c r="B117" s="38"/>
      <c r="C117" s="38"/>
      <c r="D117" s="38"/>
      <c r="E117" s="38"/>
      <c r="F117" s="38"/>
      <c r="G117" s="38"/>
      <c r="H117" s="38"/>
      <c r="I117" s="38"/>
      <c r="J117" s="38"/>
      <c r="K117" s="38"/>
      <c r="L117" s="38"/>
      <c r="M117" s="38"/>
      <c r="N117" s="38"/>
      <c r="O117" s="38"/>
    </row>
    <row r="118" spans="1:15">
      <c r="A118" s="38"/>
      <c r="B118" s="38"/>
      <c r="C118" s="38"/>
      <c r="D118" s="38"/>
      <c r="E118" s="38"/>
      <c r="F118" s="38"/>
      <c r="G118" s="38"/>
      <c r="H118" s="38"/>
      <c r="I118" s="38"/>
      <c r="J118" s="38"/>
      <c r="K118" s="38"/>
      <c r="L118" s="38"/>
      <c r="M118" s="38"/>
      <c r="N118" s="38"/>
      <c r="O118" s="38"/>
    </row>
    <row r="119" spans="1:15">
      <c r="A119" s="38"/>
      <c r="B119" s="38"/>
      <c r="C119" s="38"/>
      <c r="D119" s="38"/>
      <c r="E119" s="38"/>
      <c r="F119" s="38"/>
      <c r="G119" s="38"/>
      <c r="H119" s="38"/>
      <c r="I119" s="38"/>
      <c r="J119" s="38"/>
      <c r="K119" s="38"/>
      <c r="L119" s="38"/>
      <c r="M119" s="38"/>
      <c r="N119" s="38"/>
      <c r="O119" s="38"/>
    </row>
    <row r="120" spans="1:15">
      <c r="A120" s="38"/>
      <c r="B120" s="38"/>
      <c r="C120" s="38"/>
      <c r="D120" s="38"/>
      <c r="E120" s="38"/>
      <c r="F120" s="38"/>
      <c r="G120" s="38"/>
      <c r="H120" s="38"/>
      <c r="I120" s="38"/>
      <c r="J120" s="38"/>
      <c r="K120" s="38"/>
      <c r="L120" s="38"/>
      <c r="M120" s="38"/>
      <c r="N120" s="38"/>
      <c r="O120" s="38"/>
    </row>
    <row r="121" spans="1:15">
      <c r="A121" s="38"/>
      <c r="B121" s="38"/>
      <c r="C121" s="38"/>
      <c r="D121" s="38"/>
      <c r="E121" s="38"/>
      <c r="F121" s="38"/>
      <c r="G121" s="38"/>
      <c r="H121" s="38"/>
      <c r="I121" s="38"/>
      <c r="J121" s="38"/>
      <c r="K121" s="38"/>
      <c r="L121" s="38"/>
      <c r="M121" s="38"/>
      <c r="N121" s="38"/>
      <c r="O121" s="38"/>
    </row>
    <row r="122" spans="1:15">
      <c r="A122" s="38"/>
      <c r="B122" s="38"/>
      <c r="C122" s="38"/>
      <c r="D122" s="38"/>
      <c r="E122" s="38"/>
      <c r="F122" s="38"/>
      <c r="G122" s="38"/>
      <c r="H122" s="38"/>
      <c r="I122" s="38"/>
      <c r="J122" s="38"/>
      <c r="K122" s="38"/>
      <c r="L122" s="38"/>
      <c r="M122" s="38"/>
      <c r="N122" s="38"/>
      <c r="O122" s="38"/>
    </row>
    <row r="123" spans="1:15">
      <c r="A123" s="38"/>
      <c r="B123" s="38"/>
      <c r="C123" s="38"/>
      <c r="D123" s="38"/>
      <c r="E123" s="38"/>
      <c r="F123" s="38"/>
      <c r="G123" s="38"/>
      <c r="H123" s="38"/>
      <c r="I123" s="38"/>
      <c r="J123" s="38"/>
      <c r="K123" s="38"/>
      <c r="L123" s="38"/>
      <c r="M123" s="38"/>
      <c r="N123" s="38"/>
      <c r="O123" s="38"/>
    </row>
    <row r="124" spans="1:15">
      <c r="A124" s="38"/>
      <c r="B124" s="38"/>
      <c r="C124" s="38"/>
      <c r="D124" s="38"/>
      <c r="E124" s="38"/>
      <c r="F124" s="38"/>
      <c r="G124" s="38"/>
      <c r="H124" s="38"/>
      <c r="I124" s="38"/>
      <c r="J124" s="38"/>
      <c r="K124" s="38"/>
      <c r="L124" s="38"/>
      <c r="M124" s="38"/>
      <c r="N124" s="38"/>
      <c r="O124" s="38"/>
    </row>
    <row r="125" spans="1:15">
      <c r="A125" s="38"/>
      <c r="B125" s="38"/>
      <c r="C125" s="38"/>
      <c r="D125" s="38"/>
      <c r="E125" s="38"/>
      <c r="F125" s="38"/>
      <c r="G125" s="38"/>
      <c r="H125" s="38"/>
      <c r="I125" s="38"/>
      <c r="J125" s="38"/>
      <c r="K125" s="38"/>
      <c r="L125" s="38"/>
      <c r="M125" s="38"/>
      <c r="N125" s="38"/>
      <c r="O125" s="38"/>
    </row>
    <row r="126" spans="1:15">
      <c r="A126" s="38"/>
      <c r="B126" s="38"/>
      <c r="C126" s="38"/>
      <c r="D126" s="38"/>
      <c r="E126" s="38"/>
      <c r="F126" s="38"/>
      <c r="G126" s="38"/>
      <c r="H126" s="38"/>
      <c r="I126" s="38"/>
      <c r="J126" s="38"/>
      <c r="K126" s="38"/>
      <c r="L126" s="38"/>
      <c r="M126" s="38"/>
      <c r="N126" s="38"/>
      <c r="O126" s="38"/>
    </row>
    <row r="127" spans="1:15">
      <c r="A127" s="38"/>
      <c r="B127" s="38"/>
      <c r="C127" s="38"/>
      <c r="D127" s="38"/>
      <c r="E127" s="38"/>
      <c r="F127" s="38"/>
      <c r="G127" s="38"/>
      <c r="H127" s="38"/>
      <c r="I127" s="38"/>
      <c r="J127" s="38"/>
      <c r="K127" s="38"/>
      <c r="L127" s="38"/>
      <c r="M127" s="38"/>
      <c r="N127" s="38"/>
      <c r="O127" s="38"/>
    </row>
    <row r="128" spans="1:15">
      <c r="A128" s="38"/>
      <c r="B128" s="38"/>
      <c r="C128" s="38"/>
      <c r="D128" s="38"/>
      <c r="E128" s="38"/>
      <c r="F128" s="38"/>
      <c r="G128" s="38"/>
      <c r="H128" s="38"/>
      <c r="I128" s="38"/>
      <c r="J128" s="38"/>
      <c r="K128" s="38"/>
      <c r="L128" s="38"/>
      <c r="M128" s="38"/>
      <c r="N128" s="38"/>
      <c r="O128" s="38"/>
    </row>
    <row r="129" spans="1:15">
      <c r="A129" s="38"/>
      <c r="B129" s="38"/>
      <c r="C129" s="38"/>
      <c r="D129" s="38"/>
      <c r="E129" s="38"/>
      <c r="F129" s="38"/>
      <c r="G129" s="38"/>
      <c r="H129" s="38"/>
      <c r="I129" s="38"/>
      <c r="J129" s="38"/>
      <c r="K129" s="38"/>
      <c r="L129" s="38"/>
      <c r="M129" s="38"/>
      <c r="N129" s="38"/>
      <c r="O129" s="38"/>
    </row>
    <row r="130" spans="1:15">
      <c r="A130" s="38"/>
      <c r="B130" s="38"/>
      <c r="C130" s="38"/>
      <c r="D130" s="38"/>
      <c r="E130" s="38"/>
      <c r="F130" s="38"/>
      <c r="G130" s="38"/>
      <c r="H130" s="38"/>
      <c r="I130" s="38"/>
      <c r="J130" s="38"/>
      <c r="K130" s="38"/>
      <c r="L130" s="38"/>
      <c r="M130" s="38"/>
      <c r="N130" s="38"/>
      <c r="O130" s="38"/>
    </row>
    <row r="131" spans="1:15">
      <c r="A131" s="38"/>
      <c r="B131" s="38"/>
      <c r="C131" s="38"/>
      <c r="D131" s="38"/>
      <c r="E131" s="38"/>
      <c r="F131" s="38"/>
      <c r="G131" s="38"/>
      <c r="H131" s="38"/>
      <c r="I131" s="38"/>
      <c r="J131" s="38"/>
      <c r="K131" s="38"/>
      <c r="L131" s="38"/>
      <c r="M131" s="38"/>
      <c r="N131" s="38"/>
      <c r="O131" s="38"/>
    </row>
    <row r="132" spans="1:15">
      <c r="A132" s="38"/>
      <c r="B132" s="38"/>
      <c r="C132" s="38"/>
      <c r="D132" s="38"/>
      <c r="E132" s="38"/>
      <c r="F132" s="38"/>
      <c r="G132" s="38"/>
      <c r="H132" s="38"/>
      <c r="I132" s="38"/>
      <c r="J132" s="38"/>
      <c r="K132" s="38"/>
      <c r="L132" s="38"/>
      <c r="M132" s="38"/>
      <c r="N132" s="38"/>
      <c r="O132" s="38"/>
    </row>
    <row r="133" spans="1:15">
      <c r="A133" s="38"/>
      <c r="B133" s="38"/>
      <c r="C133" s="38"/>
      <c r="D133" s="38"/>
      <c r="E133" s="38"/>
      <c r="F133" s="38"/>
      <c r="G133" s="38"/>
      <c r="H133" s="38"/>
      <c r="I133" s="38"/>
      <c r="J133" s="38"/>
      <c r="K133" s="38"/>
      <c r="L133" s="38"/>
      <c r="M133" s="38"/>
      <c r="N133" s="38"/>
      <c r="O133" s="38"/>
    </row>
    <row r="134" spans="1:15">
      <c r="A134" s="38"/>
      <c r="B134" s="38"/>
      <c r="C134" s="38"/>
      <c r="D134" s="38"/>
      <c r="E134" s="38"/>
      <c r="F134" s="38"/>
      <c r="G134" s="38"/>
      <c r="H134" s="38"/>
      <c r="I134" s="38"/>
      <c r="J134" s="38"/>
      <c r="K134" s="38"/>
      <c r="L134" s="38"/>
      <c r="M134" s="38"/>
      <c r="N134" s="38"/>
      <c r="O134" s="38"/>
    </row>
    <row r="135" spans="1:15">
      <c r="A135" s="38"/>
      <c r="B135" s="38"/>
      <c r="C135" s="38"/>
      <c r="D135" s="38"/>
      <c r="E135" s="38"/>
      <c r="F135" s="38"/>
      <c r="G135" s="38"/>
      <c r="H135" s="38"/>
      <c r="I135" s="38"/>
      <c r="J135" s="38"/>
      <c r="K135" s="38"/>
      <c r="L135" s="38"/>
      <c r="M135" s="38"/>
      <c r="N135" s="38"/>
      <c r="O135" s="38"/>
    </row>
    <row r="136" spans="1:15">
      <c r="A136" s="38"/>
      <c r="B136" s="38"/>
      <c r="C136" s="38"/>
      <c r="D136" s="38"/>
      <c r="E136" s="38"/>
      <c r="F136" s="38"/>
      <c r="G136" s="38"/>
      <c r="H136" s="38"/>
      <c r="I136" s="38"/>
      <c r="J136" s="38"/>
      <c r="K136" s="38"/>
      <c r="L136" s="38"/>
      <c r="M136" s="38"/>
      <c r="N136" s="38"/>
      <c r="O136" s="38"/>
    </row>
    <row r="137" spans="1:15">
      <c r="A137" s="38"/>
      <c r="B137" s="38"/>
      <c r="C137" s="38"/>
      <c r="D137" s="38"/>
      <c r="E137" s="38"/>
      <c r="F137" s="38"/>
      <c r="G137" s="38"/>
      <c r="H137" s="38"/>
      <c r="I137" s="38"/>
      <c r="J137" s="38"/>
      <c r="K137" s="38"/>
      <c r="L137" s="38"/>
      <c r="M137" s="38"/>
      <c r="N137" s="38"/>
      <c r="O137" s="38"/>
    </row>
    <row r="138" spans="1:15">
      <c r="A138" s="38"/>
      <c r="B138" s="38"/>
      <c r="C138" s="38"/>
      <c r="D138" s="38"/>
      <c r="E138" s="38"/>
      <c r="F138" s="38"/>
      <c r="G138" s="38"/>
      <c r="H138" s="38"/>
      <c r="I138" s="38"/>
      <c r="J138" s="38"/>
      <c r="K138" s="38"/>
      <c r="L138" s="38"/>
      <c r="M138" s="38"/>
      <c r="N138" s="38"/>
      <c r="O138" s="38"/>
    </row>
    <row r="139" spans="1:15">
      <c r="A139" s="38"/>
      <c r="B139" s="38"/>
      <c r="C139" s="38"/>
      <c r="D139" s="38"/>
      <c r="E139" s="38"/>
      <c r="F139" s="38"/>
      <c r="G139" s="38"/>
      <c r="H139" s="38"/>
      <c r="I139" s="38"/>
      <c r="J139" s="38"/>
      <c r="K139" s="38"/>
      <c r="L139" s="38"/>
      <c r="M139" s="38"/>
      <c r="N139" s="38"/>
      <c r="O139" s="38"/>
    </row>
    <row r="140" spans="1:15">
      <c r="A140" s="38"/>
      <c r="B140" s="38"/>
      <c r="C140" s="38"/>
      <c r="D140" s="38"/>
      <c r="E140" s="38"/>
      <c r="F140" s="38"/>
      <c r="G140" s="38"/>
      <c r="H140" s="38"/>
      <c r="I140" s="38"/>
      <c r="J140" s="38"/>
      <c r="K140" s="38"/>
      <c r="L140" s="38"/>
      <c r="M140" s="38"/>
      <c r="N140" s="38"/>
      <c r="O140" s="38"/>
    </row>
    <row r="141" spans="1:15">
      <c r="A141" s="38"/>
      <c r="B141" s="38"/>
      <c r="C141" s="38"/>
      <c r="D141" s="38"/>
      <c r="E141" s="38"/>
      <c r="F141" s="38"/>
      <c r="G141" s="38"/>
      <c r="H141" s="38"/>
      <c r="I141" s="38"/>
      <c r="J141" s="38"/>
      <c r="K141" s="38"/>
      <c r="L141" s="38"/>
      <c r="M141" s="38"/>
      <c r="N141" s="38"/>
      <c r="O141" s="38"/>
    </row>
    <row r="142" spans="1:15">
      <c r="A142" s="38"/>
      <c r="B142" s="38"/>
      <c r="C142" s="38"/>
      <c r="D142" s="38"/>
      <c r="E142" s="38"/>
      <c r="F142" s="38"/>
      <c r="G142" s="38"/>
      <c r="H142" s="38"/>
      <c r="I142" s="38"/>
      <c r="J142" s="38"/>
      <c r="K142" s="38"/>
      <c r="L142" s="38"/>
      <c r="M142" s="38"/>
      <c r="N142" s="38"/>
      <c r="O142" s="38"/>
    </row>
    <row r="143" spans="1:15">
      <c r="A143" s="38"/>
      <c r="B143" s="38"/>
      <c r="C143" s="38"/>
      <c r="D143" s="38"/>
      <c r="E143" s="38"/>
      <c r="F143" s="38"/>
      <c r="G143" s="38"/>
      <c r="H143" s="38"/>
      <c r="I143" s="38"/>
      <c r="J143" s="38"/>
      <c r="K143" s="38"/>
      <c r="L143" s="38"/>
      <c r="M143" s="38"/>
      <c r="N143" s="38"/>
      <c r="O143" s="38"/>
    </row>
    <row r="144" spans="1:15">
      <c r="A144" s="38"/>
      <c r="B144" s="38"/>
      <c r="C144" s="38"/>
      <c r="D144" s="38"/>
      <c r="E144" s="38"/>
      <c r="F144" s="38"/>
      <c r="G144" s="38"/>
      <c r="H144" s="38"/>
      <c r="I144" s="38"/>
      <c r="J144" s="38"/>
      <c r="K144" s="38"/>
      <c r="L144" s="38"/>
      <c r="M144" s="38"/>
      <c r="N144" s="38"/>
      <c r="O144" s="38"/>
    </row>
    <row r="145" spans="1:15">
      <c r="A145" s="38"/>
      <c r="B145" s="38"/>
      <c r="C145" s="38"/>
      <c r="D145" s="38"/>
      <c r="E145" s="38"/>
      <c r="F145" s="38"/>
      <c r="G145" s="38"/>
      <c r="H145" s="38"/>
      <c r="I145" s="38"/>
      <c r="J145" s="38"/>
      <c r="K145" s="38"/>
      <c r="L145" s="38"/>
      <c r="M145" s="38"/>
      <c r="N145" s="38"/>
      <c r="O145" s="38"/>
    </row>
    <row r="146" spans="1:15">
      <c r="A146" s="38"/>
      <c r="B146" s="38"/>
      <c r="C146" s="38"/>
      <c r="D146" s="38"/>
      <c r="E146" s="38"/>
      <c r="F146" s="38"/>
      <c r="G146" s="38"/>
      <c r="H146" s="38"/>
      <c r="I146" s="38"/>
      <c r="J146" s="38"/>
      <c r="K146" s="38"/>
      <c r="L146" s="38"/>
      <c r="M146" s="38"/>
      <c r="N146" s="38"/>
      <c r="O146" s="38"/>
    </row>
    <row r="147" spans="1:15">
      <c r="A147" s="38"/>
      <c r="B147" s="38"/>
      <c r="C147" s="38"/>
      <c r="D147" s="38"/>
      <c r="E147" s="38"/>
      <c r="F147" s="38"/>
      <c r="G147" s="38"/>
      <c r="H147" s="38"/>
      <c r="I147" s="38"/>
      <c r="J147" s="38"/>
      <c r="K147" s="38"/>
      <c r="L147" s="38"/>
      <c r="M147" s="38"/>
      <c r="N147" s="38"/>
      <c r="O147" s="38"/>
    </row>
    <row r="148" spans="1:15">
      <c r="A148" s="38"/>
      <c r="B148" s="38"/>
      <c r="C148" s="38"/>
      <c r="D148" s="38"/>
      <c r="E148" s="38"/>
      <c r="F148" s="38"/>
      <c r="G148" s="38"/>
      <c r="H148" s="38"/>
      <c r="I148" s="38"/>
      <c r="J148" s="38"/>
      <c r="K148" s="38"/>
      <c r="L148" s="38"/>
      <c r="M148" s="38"/>
      <c r="N148" s="38"/>
      <c r="O148" s="38"/>
    </row>
    <row r="149" spans="1:15">
      <c r="A149" s="38"/>
      <c r="B149" s="38"/>
      <c r="C149" s="38"/>
      <c r="D149" s="38"/>
      <c r="E149" s="38"/>
      <c r="F149" s="38"/>
      <c r="G149" s="38"/>
      <c r="H149" s="38"/>
      <c r="I149" s="38"/>
      <c r="J149" s="38"/>
      <c r="K149" s="38"/>
      <c r="L149" s="38"/>
      <c r="M149" s="38"/>
      <c r="N149" s="38"/>
      <c r="O149" s="38"/>
    </row>
    <row r="150" spans="1:15">
      <c r="A150" s="38"/>
      <c r="B150" s="38"/>
      <c r="C150" s="38"/>
      <c r="D150" s="38"/>
      <c r="E150" s="38"/>
      <c r="F150" s="38"/>
      <c r="G150" s="38"/>
      <c r="H150" s="38"/>
      <c r="I150" s="38"/>
      <c r="J150" s="38"/>
      <c r="K150" s="38"/>
      <c r="L150" s="38"/>
      <c r="M150" s="38"/>
      <c r="N150" s="38"/>
      <c r="O150" s="38"/>
    </row>
    <row r="151" spans="1:15">
      <c r="A151" s="38"/>
      <c r="B151" s="38"/>
      <c r="C151" s="38"/>
      <c r="D151" s="38"/>
      <c r="E151" s="38"/>
      <c r="F151" s="38"/>
      <c r="G151" s="38"/>
      <c r="H151" s="38"/>
      <c r="I151" s="38"/>
      <c r="J151" s="38"/>
      <c r="K151" s="38"/>
      <c r="L151" s="38"/>
      <c r="M151" s="38"/>
      <c r="N151" s="38"/>
      <c r="O151" s="38"/>
    </row>
    <row r="152" spans="1:15">
      <c r="A152" s="38"/>
      <c r="B152" s="38"/>
      <c r="C152" s="38"/>
      <c r="D152" s="38"/>
      <c r="E152" s="38"/>
      <c r="F152" s="38"/>
      <c r="G152" s="38"/>
      <c r="H152" s="38"/>
      <c r="I152" s="38"/>
      <c r="J152" s="38"/>
      <c r="K152" s="38"/>
      <c r="L152" s="38"/>
      <c r="M152" s="38"/>
      <c r="N152" s="38"/>
      <c r="O152" s="38"/>
    </row>
  </sheetData>
  <mergeCells count="11">
    <mergeCell ref="B68:J68"/>
    <mergeCell ref="B24:K24"/>
    <mergeCell ref="E10:E11"/>
    <mergeCell ref="I10:I11"/>
    <mergeCell ref="B34:J34"/>
    <mergeCell ref="G10:G11"/>
    <mergeCell ref="B8:K8"/>
    <mergeCell ref="A1:L1"/>
    <mergeCell ref="A2:L2"/>
    <mergeCell ref="A3:L3"/>
    <mergeCell ref="A4:L4"/>
  </mergeCells>
  <phoneticPr fontId="2" type="noConversion"/>
  <printOptions horizontalCentered="1"/>
  <pageMargins left="0.25" right="0.25" top="1" bottom="0.25" header="0.25" footer="0"/>
  <pageSetup scale="36" fitToHeight="2" orientation="portrait" r:id="rId1"/>
  <headerFooter alignWithMargins="0">
    <oddHeader xml:space="preserve">&amp;R&amp;14AEP - SPP Formula Rate
TCOS - WS D
Page: &amp;P of &amp;N&amp;18
</oddHeader>
    <oddFooter xml:space="preserve">&amp;R &amp;C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101"/>
  <sheetViews>
    <sheetView zoomScale="70" zoomScaleNormal="70" zoomScaleSheetLayoutView="100" workbookViewId="0">
      <selection activeCell="O34" sqref="O34"/>
    </sheetView>
  </sheetViews>
  <sheetFormatPr defaultColWidth="8.85546875" defaultRowHeight="12.75"/>
  <cols>
    <col min="1" max="1" width="9.140625" style="198" customWidth="1"/>
    <col min="2" max="2" width="65.140625" style="38" bestFit="1" customWidth="1"/>
    <col min="3" max="3" width="16.42578125" style="38" bestFit="1" customWidth="1"/>
    <col min="4" max="4" width="1.5703125" style="38" customWidth="1"/>
    <col min="5" max="5" width="15" style="38" bestFit="1" customWidth="1"/>
    <col min="6" max="7" width="8.85546875" style="38"/>
    <col min="8" max="8" width="10.85546875" style="38" bestFit="1" customWidth="1"/>
    <col min="9" max="16384" width="8.85546875" style="38"/>
  </cols>
  <sheetData>
    <row r="1" spans="1:15" ht="15">
      <c r="A1" s="1556" t="str">
        <f>+'PSO TCOS'!F3</f>
        <v xml:space="preserve">AEP West SPP Member Operating Companies </v>
      </c>
      <c r="B1" s="1556"/>
      <c r="C1" s="1556"/>
      <c r="D1" s="1556"/>
      <c r="E1" s="1556"/>
      <c r="F1" s="324"/>
      <c r="G1" s="324"/>
      <c r="H1" s="324"/>
      <c r="I1" s="324"/>
      <c r="J1" s="324"/>
      <c r="K1" s="324"/>
      <c r="L1" s="324"/>
      <c r="M1" s="324"/>
      <c r="N1" s="324"/>
      <c r="O1" s="324"/>
    </row>
    <row r="2" spans="1:15" ht="15">
      <c r="A2" s="1553" t="str">
        <f>+'PSO WS A RB Support '!A2:G2</f>
        <v xml:space="preserve">Actual / Projected 2019 Rate Year Cost of Service Formula Rate </v>
      </c>
      <c r="B2" s="1553"/>
      <c r="C2" s="1553"/>
      <c r="D2" s="1553"/>
      <c r="E2" s="1553"/>
      <c r="F2" s="384"/>
      <c r="G2" s="384"/>
      <c r="H2" s="384"/>
      <c r="I2" s="384"/>
      <c r="J2" s="384"/>
      <c r="K2" s="384"/>
      <c r="L2" s="384"/>
      <c r="M2" s="454"/>
      <c r="N2" s="454"/>
      <c r="O2" s="454"/>
    </row>
    <row r="3" spans="1:15" ht="15.75">
      <c r="A3" s="1554" t="s">
        <v>132</v>
      </c>
      <c r="B3" s="1553"/>
      <c r="C3" s="1553"/>
      <c r="D3" s="1553"/>
      <c r="E3" s="1553"/>
      <c r="F3" s="384"/>
      <c r="G3" s="384"/>
      <c r="H3" s="384"/>
      <c r="I3" s="384"/>
      <c r="J3" s="384"/>
      <c r="K3" s="384"/>
      <c r="L3" s="384"/>
      <c r="M3" s="384"/>
      <c r="N3" s="384"/>
      <c r="O3" s="384"/>
    </row>
    <row r="4" spans="1:15" ht="15.75">
      <c r="A4" s="1574" t="str">
        <f>+'PSO TCOS'!F7</f>
        <v>PUBLIC SERVICE COMPANY OF OKLAHOMA</v>
      </c>
      <c r="B4" s="1574"/>
      <c r="C4" s="1574"/>
      <c r="D4" s="1574"/>
      <c r="E4" s="1574"/>
      <c r="F4" s="132"/>
      <c r="G4" s="132"/>
      <c r="H4" s="132"/>
      <c r="I4" s="132"/>
      <c r="J4" s="132"/>
      <c r="K4" s="132"/>
      <c r="L4" s="132"/>
      <c r="M4" s="132"/>
      <c r="N4" s="132"/>
      <c r="O4" s="132"/>
    </row>
    <row r="6" spans="1:15">
      <c r="A6" s="181" t="s">
        <v>345</v>
      </c>
      <c r="B6" s="113" t="s">
        <v>338</v>
      </c>
      <c r="C6" s="113" t="s">
        <v>339</v>
      </c>
    </row>
    <row r="7" spans="1:15">
      <c r="A7" s="181" t="s">
        <v>283</v>
      </c>
      <c r="B7" s="181" t="s">
        <v>343</v>
      </c>
      <c r="C7" s="181">
        <f>+'PSO TCOS'!N1</f>
        <v>2019</v>
      </c>
    </row>
    <row r="8" spans="1:15">
      <c r="B8" s="292"/>
      <c r="C8" s="113"/>
    </row>
    <row r="9" spans="1:15">
      <c r="A9" s="198">
        <v>1</v>
      </c>
      <c r="B9" s="422" t="str">
        <f>"Net Funds from IPP Customers @ 12/31/"&amp;C7-1&amp;" ("&amp;C7&amp;" FORM 1, P269, (B))"</f>
        <v>Net Funds from IPP Customers @ 12/31/2018 (2019 FORM 1, P269, (B))</v>
      </c>
      <c r="C9" s="661">
        <f>+'[4]Inputs 2019'!$E$230</f>
        <v>1050066</v>
      </c>
      <c r="D9" s="268"/>
      <c r="E9" s="194"/>
    </row>
    <row r="10" spans="1:15">
      <c r="A10" s="198" t="s">
        <v>139</v>
      </c>
      <c r="B10" s="422"/>
      <c r="C10" s="268"/>
      <c r="D10" s="268"/>
    </row>
    <row r="11" spans="1:15">
      <c r="A11" s="198">
        <v>2</v>
      </c>
      <c r="B11" s="332" t="s">
        <v>1086</v>
      </c>
      <c r="C11" s="661">
        <v>0</v>
      </c>
      <c r="D11" s="268"/>
    </row>
    <row r="12" spans="1:15">
      <c r="B12" s="422"/>
      <c r="C12" s="268"/>
      <c r="D12" s="268"/>
    </row>
    <row r="13" spans="1:15">
      <c r="A13" s="198">
        <f>+A11+1</f>
        <v>3</v>
      </c>
      <c r="B13" s="332" t="s">
        <v>1087</v>
      </c>
      <c r="C13" s="661"/>
      <c r="D13" s="268"/>
    </row>
    <row r="14" spans="1:15">
      <c r="B14" s="422"/>
      <c r="C14" s="268"/>
      <c r="D14" s="268"/>
    </row>
    <row r="15" spans="1:15">
      <c r="A15" s="198">
        <f>+A13+1</f>
        <v>4</v>
      </c>
      <c r="B15" s="949" t="s">
        <v>1088</v>
      </c>
      <c r="C15" s="268"/>
      <c r="D15" s="268"/>
    </row>
    <row r="16" spans="1:15">
      <c r="A16" s="198">
        <f>+A15+1</f>
        <v>5</v>
      </c>
      <c r="B16" s="422" t="s">
        <v>407</v>
      </c>
      <c r="C16" s="703"/>
      <c r="D16" s="268"/>
      <c r="H16" s="268"/>
    </row>
    <row r="17" spans="1:5">
      <c r="A17" s="198">
        <f>+A16+1</f>
        <v>6</v>
      </c>
      <c r="B17" s="422" t="s">
        <v>291</v>
      </c>
      <c r="C17" s="703"/>
      <c r="D17" s="268"/>
    </row>
    <row r="18" spans="1:5">
      <c r="B18" s="422"/>
      <c r="C18" s="455"/>
      <c r="D18" s="268"/>
    </row>
    <row r="19" spans="1:5">
      <c r="A19" s="198">
        <f>+A17+1</f>
        <v>7</v>
      </c>
      <c r="B19" s="422" t="str">
        <f>" Net Funds from IPP Customers 12/31/"&amp;C7&amp;" ("&amp;C7&amp;" FORM 1, P269, (F))"</f>
        <v xml:space="preserve"> Net Funds from IPP Customers 12/31/2019 (2019 FORM 1, P269, (F))</v>
      </c>
      <c r="C19" s="268">
        <f>+C9+C11+C13+C16+C17</f>
        <v>1050066</v>
      </c>
      <c r="D19" s="171"/>
      <c r="E19" s="194"/>
    </row>
    <row r="20" spans="1:5">
      <c r="B20" s="422"/>
      <c r="C20" s="268"/>
      <c r="D20" s="268"/>
    </row>
    <row r="21" spans="1:5">
      <c r="A21" s="198">
        <f>+A19+1</f>
        <v>8</v>
      </c>
      <c r="B21" s="422" t="str">
        <f>"Average Balance for "&amp;C7&amp;" ((ln "&amp;A9&amp;" + ln "&amp;A19&amp;")/2)"</f>
        <v>Average Balance for 2019 ((ln 1 + ln 7)/2)</v>
      </c>
      <c r="C21" s="367">
        <f>AVERAGE(C19,C9)</f>
        <v>1050066</v>
      </c>
      <c r="D21" s="268"/>
    </row>
    <row r="22" spans="1:5">
      <c r="C22" s="268"/>
      <c r="D22" s="268"/>
    </row>
    <row r="23" spans="1:5">
      <c r="C23" s="268"/>
      <c r="D23" s="268"/>
    </row>
    <row r="30" spans="1:5">
      <c r="D30" s="114"/>
    </row>
    <row r="36" spans="3:3">
      <c r="C36" s="456"/>
    </row>
    <row r="53" spans="1:1">
      <c r="A53" s="38"/>
    </row>
    <row r="54" spans="1:1">
      <c r="A54" s="38"/>
    </row>
    <row r="55" spans="1:1">
      <c r="A55" s="38"/>
    </row>
    <row r="56" spans="1:1">
      <c r="A56" s="38"/>
    </row>
    <row r="57" spans="1:1">
      <c r="A57" s="38"/>
    </row>
    <row r="58" spans="1:1">
      <c r="A58" s="38"/>
    </row>
    <row r="59" spans="1:1">
      <c r="A59" s="38"/>
    </row>
    <row r="60" spans="1:1">
      <c r="A60" s="38"/>
    </row>
    <row r="61" spans="1:1">
      <c r="A61" s="38"/>
    </row>
    <row r="62" spans="1:1">
      <c r="A62" s="38"/>
    </row>
    <row r="63" spans="1:1">
      <c r="A63" s="38"/>
    </row>
    <row r="64" spans="1:1">
      <c r="A64" s="38"/>
    </row>
    <row r="65" spans="1:1">
      <c r="A65" s="38"/>
    </row>
    <row r="66" spans="1:1">
      <c r="A66" s="38"/>
    </row>
    <row r="67" spans="1:1">
      <c r="A67" s="38"/>
    </row>
    <row r="68" spans="1:1">
      <c r="A68" s="38"/>
    </row>
    <row r="69" spans="1:1">
      <c r="A69" s="38"/>
    </row>
    <row r="70" spans="1:1">
      <c r="A70" s="38"/>
    </row>
    <row r="71" spans="1:1">
      <c r="A71" s="38"/>
    </row>
    <row r="72" spans="1:1">
      <c r="A72" s="38"/>
    </row>
    <row r="73" spans="1:1">
      <c r="A73" s="38"/>
    </row>
    <row r="74" spans="1:1">
      <c r="A74" s="38"/>
    </row>
    <row r="75" spans="1:1">
      <c r="A75" s="38"/>
    </row>
    <row r="76" spans="1:1">
      <c r="A76" s="38"/>
    </row>
    <row r="77" spans="1:1">
      <c r="A77" s="38"/>
    </row>
    <row r="78" spans="1:1">
      <c r="A78" s="38"/>
    </row>
    <row r="79" spans="1:1">
      <c r="A79" s="38"/>
    </row>
    <row r="80" spans="1:1">
      <c r="A80" s="38"/>
    </row>
    <row r="81" spans="1:1">
      <c r="A81" s="38"/>
    </row>
    <row r="82" spans="1:1">
      <c r="A82" s="38"/>
    </row>
    <row r="83" spans="1:1">
      <c r="A83" s="38"/>
    </row>
    <row r="84" spans="1:1">
      <c r="A84" s="38"/>
    </row>
    <row r="85" spans="1:1">
      <c r="A85" s="38"/>
    </row>
    <row r="86" spans="1:1">
      <c r="A86" s="38"/>
    </row>
    <row r="87" spans="1:1">
      <c r="A87" s="38"/>
    </row>
    <row r="88" spans="1:1">
      <c r="A88" s="38"/>
    </row>
    <row r="89" spans="1:1">
      <c r="A89" s="38"/>
    </row>
    <row r="90" spans="1:1">
      <c r="A90" s="38"/>
    </row>
    <row r="91" spans="1:1">
      <c r="A91" s="38"/>
    </row>
    <row r="92" spans="1:1">
      <c r="A92" s="38"/>
    </row>
    <row r="93" spans="1:1">
      <c r="A93" s="38"/>
    </row>
    <row r="94" spans="1:1">
      <c r="A94" s="38"/>
    </row>
    <row r="95" spans="1:1">
      <c r="A95" s="38"/>
    </row>
    <row r="96" spans="1:1">
      <c r="A96" s="38"/>
    </row>
    <row r="97" spans="1:1">
      <c r="A97" s="38"/>
    </row>
    <row r="98" spans="1:1">
      <c r="A98" s="38"/>
    </row>
    <row r="99" spans="1:1">
      <c r="A99" s="38"/>
    </row>
    <row r="100" spans="1:1">
      <c r="A100" s="38"/>
    </row>
    <row r="101" spans="1:1">
      <c r="A101" s="38"/>
    </row>
  </sheetData>
  <mergeCells count="4">
    <mergeCell ref="A1:E1"/>
    <mergeCell ref="A2:E2"/>
    <mergeCell ref="A3:E3"/>
    <mergeCell ref="A4:E4"/>
  </mergeCells>
  <phoneticPr fontId="0" type="noConversion"/>
  <printOptions horizontalCentered="1"/>
  <pageMargins left="0.75" right="0.75" top="1" bottom="0.25" header="0.25" footer="0.5"/>
  <pageSetup scale="85" orientation="portrait" r:id="rId1"/>
  <headerFooter alignWithMargins="0">
    <oddHeader xml:space="preserve">&amp;R&amp;11AEP - SPP Formula Rate
TCOS - WS E
Page: &amp;P of &amp;N&amp;14
</oddHeader>
    <oddFooter xml:space="preserve">&amp;R &amp;C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173"/>
  <sheetViews>
    <sheetView topLeftCell="E10" zoomScale="70" zoomScaleNormal="70" zoomScaleSheetLayoutView="90" zoomScalePageLayoutView="80" workbookViewId="0">
      <selection activeCell="L18" sqref="L18"/>
    </sheetView>
  </sheetViews>
  <sheetFormatPr defaultColWidth="8.85546875" defaultRowHeight="12.75"/>
  <cols>
    <col min="1" max="1" width="9.28515625" style="38" customWidth="1"/>
    <col min="2" max="2" width="6.7109375" style="38" customWidth="1"/>
    <col min="3" max="3" width="24.5703125" style="38" customWidth="1"/>
    <col min="4" max="4" width="17.7109375" style="198" customWidth="1"/>
    <col min="5" max="5" width="21.7109375" style="38" customWidth="1"/>
    <col min="6" max="8" width="17.7109375" style="38" customWidth="1"/>
    <col min="9" max="9" width="19.5703125" style="171" customWidth="1"/>
    <col min="10" max="12" width="17.7109375" style="38" customWidth="1"/>
    <col min="13" max="13" width="20" style="38" customWidth="1"/>
    <col min="14" max="14" width="19.5703125" style="38" customWidth="1"/>
    <col min="15" max="15" width="19" style="40" customWidth="1"/>
    <col min="16" max="16" width="16.42578125" style="40" customWidth="1"/>
    <col min="17" max="17" width="57.85546875" style="38" bestFit="1" customWidth="1"/>
    <col min="18" max="16384" width="8.85546875" style="38"/>
  </cols>
  <sheetData>
    <row r="1" spans="1:19" ht="18">
      <c r="A1" s="1562" t="str">
        <f>'PSO TCOS'!F3</f>
        <v xml:space="preserve">AEP West SPP Member Operating Companies </v>
      </c>
      <c r="B1" s="1562"/>
      <c r="C1" s="1562"/>
      <c r="D1" s="1562"/>
      <c r="E1" s="1562"/>
      <c r="F1" s="1562"/>
      <c r="G1" s="1562"/>
      <c r="H1" s="1562"/>
      <c r="I1" s="1562"/>
    </row>
    <row r="2" spans="1:19" ht="18">
      <c r="A2" s="1562" t="str">
        <f>+'PSO WS A RB Support '!A2:G2</f>
        <v xml:space="preserve">Actual / Projected 2019 Rate Year Cost of Service Formula Rate </v>
      </c>
      <c r="B2" s="1562"/>
      <c r="C2" s="1562"/>
      <c r="D2" s="1562"/>
      <c r="E2" s="1562"/>
      <c r="F2" s="1562"/>
      <c r="G2" s="1562"/>
      <c r="H2" s="1562"/>
      <c r="I2" s="1562"/>
      <c r="P2" s="363"/>
    </row>
    <row r="3" spans="1:19" ht="18">
      <c r="A3" s="1562" t="s">
        <v>1137</v>
      </c>
      <c r="B3" s="1562"/>
      <c r="C3" s="1562"/>
      <c r="D3" s="1562"/>
      <c r="E3" s="1562"/>
      <c r="F3" s="1562"/>
      <c r="G3" s="1562"/>
      <c r="H3" s="1562"/>
      <c r="I3" s="1562"/>
    </row>
    <row r="4" spans="1:19" ht="18">
      <c r="A4" s="1563" t="str">
        <f>+'PSO TCOS'!F7</f>
        <v>PUBLIC SERVICE COMPANY OF OKLAHOMA</v>
      </c>
      <c r="B4" s="1563"/>
      <c r="C4" s="1563"/>
      <c r="D4" s="1563"/>
      <c r="E4" s="1563"/>
      <c r="F4" s="1563"/>
      <c r="G4" s="1563"/>
      <c r="H4" s="1563"/>
      <c r="I4" s="1563"/>
      <c r="P4" s="38"/>
    </row>
    <row r="5" spans="1:19" ht="20.25">
      <c r="A5" s="165"/>
      <c r="C5" s="137"/>
      <c r="P5" s="363" t="s">
        <v>551</v>
      </c>
    </row>
    <row r="6" spans="1:19" ht="35.25" customHeight="1">
      <c r="A6" s="950" t="s">
        <v>345</v>
      </c>
      <c r="B6" s="136" t="s">
        <v>347</v>
      </c>
      <c r="C6" s="1587" t="str">
        <f>"Calculate Return and Income Taxes with "&amp;F11&amp;" basis point ROE increase for Projects Qualified for Incentive."</f>
        <v>Calculate Return and Income Taxes with 0 basis point ROE increase for Projects Qualified for Incentive.</v>
      </c>
      <c r="D6" s="1560"/>
      <c r="E6" s="1560"/>
      <c r="F6" s="1560"/>
      <c r="G6" s="1560"/>
      <c r="H6" s="1560"/>
      <c r="I6" s="1560"/>
      <c r="J6" s="1565" t="s">
        <v>483</v>
      </c>
      <c r="K6" s="1565"/>
      <c r="L6" s="1565"/>
      <c r="M6" s="1565"/>
      <c r="N6" s="1565"/>
    </row>
    <row r="7" spans="1:19" ht="15.75" customHeight="1">
      <c r="A7" s="950" t="s">
        <v>283</v>
      </c>
      <c r="C7" s="344"/>
      <c r="D7" s="344"/>
      <c r="E7" s="344"/>
      <c r="F7" s="344"/>
      <c r="G7" s="344"/>
      <c r="H7" s="344"/>
      <c r="I7" s="344"/>
      <c r="J7" s="1565"/>
      <c r="K7" s="1565"/>
      <c r="L7" s="1565"/>
      <c r="M7" s="1565"/>
      <c r="N7" s="1565"/>
      <c r="P7" s="38"/>
      <c r="Q7" s="38" t="s">
        <v>195</v>
      </c>
    </row>
    <row r="8" spans="1:19" ht="15.75">
      <c r="C8" s="206" t="str">
        <f>"A.   Determine 'R' with hypothetical "&amp;F11&amp;" basis point increase in ROE for Identified Projects"</f>
        <v>A.   Determine 'R' with hypothetical 0 basis point increase in ROE for Identified Projects</v>
      </c>
      <c r="J8" s="1565"/>
      <c r="K8" s="1565"/>
      <c r="L8" s="1565"/>
      <c r="M8" s="1565"/>
      <c r="N8" s="1565"/>
      <c r="P8" s="445" t="s">
        <v>189</v>
      </c>
      <c r="Q8" s="363" t="s">
        <v>108</v>
      </c>
    </row>
    <row r="9" spans="1:19" ht="18" customHeight="1" thickBot="1">
      <c r="J9" s="1565"/>
      <c r="K9" s="1565"/>
      <c r="L9" s="1565"/>
      <c r="M9" s="1565"/>
      <c r="N9" s="1565"/>
      <c r="P9" s="363" t="s">
        <v>490</v>
      </c>
    </row>
    <row r="10" spans="1:19" ht="13.5" thickBot="1">
      <c r="A10" s="198">
        <v>1</v>
      </c>
      <c r="C10" s="149" t="str">
        <f>"   ROE w/o incentives  (TCOS, ln "&amp;'PSO TCOS'!B233&amp;")"</f>
        <v xml:space="preserve">   ROE w/o incentives  (TCOS, ln 141)</v>
      </c>
      <c r="E10" s="216"/>
      <c r="F10" s="307">
        <f>+'PSO TCOS'!J233</f>
        <v>0.112</v>
      </c>
      <c r="G10" s="307"/>
      <c r="H10" s="309"/>
      <c r="I10" s="433"/>
      <c r="J10" s="344"/>
      <c r="K10" s="344"/>
      <c r="L10" s="344"/>
      <c r="M10" s="344"/>
      <c r="N10" s="344"/>
      <c r="O10" s="158"/>
      <c r="P10" s="306" t="s">
        <v>532</v>
      </c>
      <c r="Q10" s="446" t="s">
        <v>107</v>
      </c>
      <c r="R10" s="138"/>
    </row>
    <row r="11" spans="1:19" ht="18" customHeight="1">
      <c r="A11" s="198">
        <f>+A10+1</f>
        <v>2</v>
      </c>
      <c r="C11" s="149" t="s">
        <v>174</v>
      </c>
      <c r="E11" s="216"/>
      <c r="F11" s="951">
        <v>0</v>
      </c>
      <c r="G11" s="299" t="s">
        <v>376</v>
      </c>
      <c r="I11" s="38"/>
      <c r="J11" s="1581" t="s">
        <v>224</v>
      </c>
      <c r="K11" s="1582"/>
      <c r="L11" s="1582"/>
      <c r="M11" s="1582"/>
      <c r="N11" s="1583"/>
      <c r="O11" s="158"/>
      <c r="P11" s="511">
        <f>+K18</f>
        <v>2019</v>
      </c>
      <c r="Q11" s="436" t="s">
        <v>65</v>
      </c>
      <c r="R11" s="138"/>
    </row>
    <row r="12" spans="1:19" ht="17.25" customHeight="1">
      <c r="A12" s="198">
        <f>+A11+1</f>
        <v>3</v>
      </c>
      <c r="C12" s="149" t="str">
        <f>"   ROE with additional "&amp;F11&amp;" basis point incentive"</f>
        <v xml:space="preserve">   ROE with additional 0 basis point incentive</v>
      </c>
      <c r="D12" s="216"/>
      <c r="E12" s="216"/>
      <c r="F12" s="139">
        <f>IF((F10+(F11/10000)&gt;0.1245),"ERROR",F10+(F11/10000))</f>
        <v>0.112</v>
      </c>
      <c r="G12" s="218" t="s">
        <v>1136</v>
      </c>
      <c r="I12" s="310"/>
      <c r="J12" s="1584"/>
      <c r="K12" s="1585"/>
      <c r="L12" s="1585"/>
      <c r="M12" s="1585"/>
      <c r="N12" s="1586"/>
      <c r="O12" s="158"/>
      <c r="P12" s="265">
        <f>+F10</f>
        <v>0.112</v>
      </c>
      <c r="Q12" s="38" t="str">
        <f>+C10</f>
        <v xml:space="preserve">   ROE w/o incentives  (TCOS, ln 141)</v>
      </c>
      <c r="R12" s="140"/>
      <c r="S12" s="40"/>
    </row>
    <row r="13" spans="1:19" ht="16.5" customHeight="1">
      <c r="A13" s="198">
        <f t="shared" ref="A13:A72" si="0">+A12+1</f>
        <v>4</v>
      </c>
      <c r="C13" s="955" t="str">
        <f>"   Determine R  (cost of long term debt, cost of preferred stock and percent is from TCOS, lns "&amp;'PSO TCOS'!B231&amp;" through "&amp;'PSO TCOS'!B233&amp;")"</f>
        <v xml:space="preserve">   Determine R  (cost of long term debt, cost of preferred stock and percent is from TCOS, lns 139 through 141)</v>
      </c>
      <c r="E13" s="216"/>
      <c r="F13" s="139"/>
      <c r="G13" s="139"/>
      <c r="H13" s="216"/>
      <c r="I13" s="310"/>
      <c r="J13" s="1584"/>
      <c r="K13" s="1585"/>
      <c r="L13" s="1585"/>
      <c r="M13" s="1585"/>
      <c r="N13" s="1586"/>
      <c r="O13" s="158"/>
      <c r="P13" s="513">
        <f>+F11</f>
        <v>0</v>
      </c>
      <c r="Q13" s="436" t="s">
        <v>174</v>
      </c>
      <c r="R13" s="140"/>
      <c r="S13" s="40"/>
    </row>
    <row r="14" spans="1:19" ht="16.5" customHeight="1">
      <c r="A14" s="198">
        <f t="shared" si="0"/>
        <v>5</v>
      </c>
      <c r="C14" s="158"/>
      <c r="D14" s="308" t="s">
        <v>322</v>
      </c>
      <c r="E14" s="308" t="s">
        <v>321</v>
      </c>
      <c r="F14" s="141" t="s">
        <v>419</v>
      </c>
      <c r="G14" s="141"/>
      <c r="H14" s="216"/>
      <c r="I14" s="310"/>
      <c r="J14" s="952"/>
      <c r="K14" s="953"/>
      <c r="L14" s="953"/>
      <c r="M14" s="953"/>
      <c r="N14" s="954"/>
      <c r="O14" s="158"/>
      <c r="P14" s="644">
        <f>+D15</f>
        <v>0.51000680151348399</v>
      </c>
      <c r="Q14" s="447" t="s">
        <v>493</v>
      </c>
      <c r="R14" s="140"/>
      <c r="S14" s="40"/>
    </row>
    <row r="15" spans="1:19">
      <c r="A15" s="198">
        <f t="shared" si="0"/>
        <v>6</v>
      </c>
      <c r="C15" s="142" t="s">
        <v>422</v>
      </c>
      <c r="D15" s="364">
        <f>IF(+'PSO TCOS'!H231=0,'PSO TCOS'!G231,'PSO TCOS'!H231)</f>
        <v>0.51000680151348399</v>
      </c>
      <c r="E15" s="717">
        <f>+'PSO TCOS'!J231</f>
        <v>5.1744163244506244E-2</v>
      </c>
      <c r="F15" s="718">
        <f>E15*D15</f>
        <v>2.6389875193322209E-2</v>
      </c>
      <c r="G15" s="255"/>
      <c r="H15" s="216"/>
      <c r="I15" s="310"/>
      <c r="J15" s="956"/>
      <c r="K15" s="508"/>
      <c r="L15" s="508"/>
      <c r="M15" s="508"/>
      <c r="N15" s="957"/>
      <c r="O15" s="437"/>
      <c r="P15" s="644">
        <f>+E15</f>
        <v>5.1744163244506244E-2</v>
      </c>
      <c r="Q15" s="447" t="s">
        <v>494</v>
      </c>
      <c r="R15" s="140"/>
      <c r="S15" s="40"/>
    </row>
    <row r="16" spans="1:19">
      <c r="A16" s="198">
        <f t="shared" si="0"/>
        <v>7</v>
      </c>
      <c r="C16" s="142" t="s">
        <v>423</v>
      </c>
      <c r="D16" s="364">
        <f>IF(+'PSO TCOS'!H232=0,'PSO TCOS'!G232,'PSO TCOS'!H232)</f>
        <v>0</v>
      </c>
      <c r="E16" s="717">
        <f>+'PSO TCOS'!J232</f>
        <v>0</v>
      </c>
      <c r="F16" s="718">
        <f>E16*D16</f>
        <v>0</v>
      </c>
      <c r="G16" s="255"/>
      <c r="H16" s="144"/>
      <c r="I16" s="144"/>
      <c r="J16" s="434"/>
      <c r="K16" s="155"/>
      <c r="L16" s="158" t="s">
        <v>420</v>
      </c>
      <c r="M16" s="158" t="s">
        <v>485</v>
      </c>
      <c r="N16" s="435" t="s">
        <v>421</v>
      </c>
      <c r="O16" s="151"/>
      <c r="P16" s="644">
        <f>+D16</f>
        <v>0</v>
      </c>
      <c r="Q16" s="447" t="s">
        <v>495</v>
      </c>
      <c r="R16" s="140"/>
      <c r="S16" s="40"/>
    </row>
    <row r="17" spans="1:19">
      <c r="A17" s="198">
        <f t="shared" si="0"/>
        <v>8</v>
      </c>
      <c r="C17" s="142" t="s">
        <v>415</v>
      </c>
      <c r="D17" s="364">
        <f>IF(+'PSO TCOS'!H233=0,'PSO TCOS'!G233,'PSO TCOS'!H233)</f>
        <v>0.48999319848651607</v>
      </c>
      <c r="E17" s="717">
        <f>+F12</f>
        <v>0.112</v>
      </c>
      <c r="F17" s="719">
        <f>E17*D17</f>
        <v>5.4879238230489798E-2</v>
      </c>
      <c r="G17" s="256"/>
      <c r="H17" s="144"/>
      <c r="I17" s="144"/>
      <c r="J17" s="438"/>
      <c r="K17" s="40"/>
      <c r="L17" s="40"/>
      <c r="M17" s="40"/>
      <c r="N17" s="436"/>
      <c r="O17" s="151"/>
      <c r="P17" s="644">
        <f>+E16</f>
        <v>0</v>
      </c>
      <c r="Q17" s="447" t="s">
        <v>496</v>
      </c>
      <c r="R17" s="140"/>
      <c r="S17" s="40"/>
    </row>
    <row r="18" spans="1:19" ht="13.5" thickBot="1">
      <c r="A18" s="198">
        <f t="shared" si="0"/>
        <v>9</v>
      </c>
      <c r="C18" s="149"/>
      <c r="D18" s="216"/>
      <c r="E18" s="260" t="s">
        <v>424</v>
      </c>
      <c r="F18" s="718">
        <f>SUM(F15:F17)</f>
        <v>8.1269113423812003E-2</v>
      </c>
      <c r="G18" s="255"/>
      <c r="H18" s="441"/>
      <c r="I18" s="144"/>
      <c r="J18" s="958" t="s">
        <v>481</v>
      </c>
      <c r="K18" s="959">
        <f>+'PSO TCOS'!$N$1</f>
        <v>2019</v>
      </c>
      <c r="L18" s="960">
        <f>+P45</f>
        <v>7470466.2267492693</v>
      </c>
      <c r="M18" s="960">
        <f>+P46</f>
        <v>7470466.2267492693</v>
      </c>
      <c r="N18" s="961">
        <f>+P47</f>
        <v>0</v>
      </c>
      <c r="O18" s="151"/>
      <c r="P18" s="644">
        <f>+D17</f>
        <v>0.48999319848651607</v>
      </c>
      <c r="Q18" s="448" t="s">
        <v>497</v>
      </c>
      <c r="R18" s="140"/>
      <c r="S18" s="40"/>
    </row>
    <row r="19" spans="1:19">
      <c r="A19" s="198"/>
      <c r="D19" s="143"/>
      <c r="E19" s="143"/>
      <c r="F19" s="144"/>
      <c r="G19" s="144"/>
      <c r="H19" s="144"/>
      <c r="I19" s="144"/>
      <c r="J19" s="962"/>
      <c r="K19" s="962"/>
      <c r="L19" s="962"/>
      <c r="M19" s="962"/>
      <c r="N19" s="962"/>
      <c r="O19" s="148"/>
      <c r="P19" s="645">
        <f>+E22</f>
        <v>496666734.30559325</v>
      </c>
      <c r="Q19" s="449" t="str">
        <f>+C22</f>
        <v xml:space="preserve">   Rate Base  (TCOS, ln 62)</v>
      </c>
      <c r="R19" s="138"/>
      <c r="S19" s="40"/>
    </row>
    <row r="20" spans="1:19" ht="15.75">
      <c r="A20" s="198"/>
      <c r="C20" s="206" t="str">
        <f>"B.   Determine Return using 'R' with hypothetical "&amp;F11&amp;" basis point ROE increase for Identified Projects."</f>
        <v>B.   Determine Return using 'R' with hypothetical 0 basis point ROE increase for Identified Projects.</v>
      </c>
      <c r="D20" s="143"/>
      <c r="E20" s="143"/>
      <c r="F20" s="144"/>
      <c r="G20" s="144"/>
      <c r="H20" s="144"/>
      <c r="I20" s="216"/>
      <c r="J20" s="963"/>
      <c r="K20" s="962"/>
      <c r="L20" s="962"/>
      <c r="M20" s="962"/>
      <c r="N20" s="962"/>
      <c r="O20" s="148"/>
      <c r="P20" s="516">
        <f>+F29</f>
        <v>0.2533709999999999</v>
      </c>
      <c r="Q20" s="436" t="str">
        <f>+C29</f>
        <v xml:space="preserve">   Tax Rate  (TCOS, ln 97)</v>
      </c>
      <c r="R20" s="140"/>
      <c r="S20" s="40"/>
    </row>
    <row r="21" spans="1:19">
      <c r="A21" s="198"/>
      <c r="C21" s="158"/>
      <c r="D21" s="143"/>
      <c r="E21" s="143"/>
      <c r="F21" s="148"/>
      <c r="G21" s="148"/>
      <c r="H21" s="148"/>
      <c r="I21" s="148"/>
      <c r="J21" s="962"/>
      <c r="K21" s="962"/>
      <c r="L21" s="962"/>
      <c r="M21" s="962"/>
      <c r="N21" s="962"/>
      <c r="O21" s="148"/>
      <c r="P21" s="515">
        <f>+F32</f>
        <v>-393625.88846337283</v>
      </c>
      <c r="Q21" s="436" t="str">
        <f>+C32</f>
        <v xml:space="preserve">   ITC Adjustment  (TCOS, ln 106)</v>
      </c>
      <c r="R21" s="140"/>
      <c r="S21" s="40"/>
    </row>
    <row r="22" spans="1:19">
      <c r="A22" s="198">
        <f>+A18+1</f>
        <v>10</v>
      </c>
      <c r="C22" s="149" t="str">
        <f>"   Rate Base  (TCOS, ln "&amp;'PSO TCOS'!B110&amp;")"</f>
        <v xml:space="preserve">   Rate Base  (TCOS, ln 62)</v>
      </c>
      <c r="D22" s="216"/>
      <c r="E22" s="261">
        <f>+'PSO TCOS'!L110</f>
        <v>496666734.30559325</v>
      </c>
      <c r="F22" s="145"/>
      <c r="G22" s="145"/>
      <c r="H22" s="148"/>
      <c r="I22" s="148"/>
      <c r="J22" s="962"/>
      <c r="K22" s="962"/>
      <c r="L22" s="962"/>
      <c r="M22" s="962"/>
      <c r="N22" s="962"/>
      <c r="O22" s="148"/>
      <c r="P22" s="515">
        <f>+F33</f>
        <v>-2558969.7158829882</v>
      </c>
      <c r="Q22" s="436" t="str">
        <f>+C33</f>
        <v xml:space="preserve">   Excess DFIT Adjustment  (TCOS, ln 107)</v>
      </c>
      <c r="R22" s="140"/>
      <c r="S22" s="40"/>
    </row>
    <row r="23" spans="1:19">
      <c r="A23" s="198">
        <f t="shared" si="0"/>
        <v>11</v>
      </c>
      <c r="C23" s="158" t="s">
        <v>383</v>
      </c>
      <c r="D23" s="309"/>
      <c r="E23" s="262">
        <f>F18</f>
        <v>8.1269113423812003E-2</v>
      </c>
      <c r="F23" s="148"/>
      <c r="G23" s="148"/>
      <c r="H23" s="148"/>
      <c r="I23" s="148"/>
      <c r="J23" s="962"/>
      <c r="K23" s="962"/>
      <c r="L23" s="962"/>
      <c r="M23" s="962"/>
      <c r="N23" s="962"/>
      <c r="O23" s="148"/>
      <c r="P23" s="515">
        <f>+F34</f>
        <v>81004.086366856878</v>
      </c>
      <c r="Q23" s="436" t="str">
        <f>+C34</f>
        <v xml:space="preserve">   Tax Effect of Permanent and Flow Through Differences  (TCOS, ln 108)</v>
      </c>
      <c r="R23" s="140"/>
      <c r="S23" s="40"/>
    </row>
    <row r="24" spans="1:19" ht="15">
      <c r="A24" s="198">
        <f t="shared" si="0"/>
        <v>12</v>
      </c>
      <c r="C24" s="146" t="s">
        <v>425</v>
      </c>
      <c r="D24" s="146"/>
      <c r="E24" s="263">
        <f>E22*E23</f>
        <v>40363665.164115556</v>
      </c>
      <c r="F24" s="148"/>
      <c r="G24" s="148"/>
      <c r="H24" s="148"/>
      <c r="I24" s="148"/>
      <c r="J24" s="21"/>
      <c r="K24" s="21"/>
      <c r="L24" s="21"/>
      <c r="M24" s="21"/>
      <c r="N24" s="49"/>
      <c r="O24" s="151"/>
      <c r="P24" s="515">
        <f>+F41</f>
        <v>97521772.229186505</v>
      </c>
      <c r="Q24" s="436" t="str">
        <f>+C41</f>
        <v xml:space="preserve">   Net Revenue Requirement  (TCOS, ln 115)</v>
      </c>
      <c r="R24" s="140"/>
      <c r="S24" s="40"/>
    </row>
    <row r="25" spans="1:19" ht="20.25">
      <c r="A25" s="198"/>
      <c r="C25" s="146"/>
      <c r="D25" s="310"/>
      <c r="E25" s="310"/>
      <c r="F25" s="148"/>
      <c r="G25" s="148"/>
      <c r="H25" s="148"/>
      <c r="I25" s="148"/>
      <c r="J25" s="964" t="s">
        <v>150</v>
      </c>
      <c r="K25" s="965" t="s">
        <v>491</v>
      </c>
      <c r="L25" s="966"/>
      <c r="M25" s="966"/>
      <c r="N25" s="582"/>
      <c r="O25" s="151"/>
      <c r="P25" s="515">
        <f>+F42</f>
        <v>40363665.164115556</v>
      </c>
      <c r="Q25" s="436" t="str">
        <f>+C42</f>
        <v xml:space="preserve">   Return  (TCOS, ln 110)</v>
      </c>
      <c r="R25" s="140"/>
      <c r="S25" s="40"/>
    </row>
    <row r="26" spans="1:19" ht="18">
      <c r="A26" s="198"/>
      <c r="C26" s="206" t="str">
        <f>"C.   Determine Income Taxes using Return with hypothetical "&amp;F11&amp;" basis point ROE increase for Identified Projects."</f>
        <v>C.   Determine Income Taxes using Return with hypothetical 0 basis point ROE increase for Identified Projects.</v>
      </c>
      <c r="D26" s="311"/>
      <c r="E26" s="311"/>
      <c r="F26" s="442"/>
      <c r="G26" s="442"/>
      <c r="H26" s="442"/>
      <c r="I26" s="442"/>
      <c r="J26" s="151"/>
      <c r="K26" s="967" t="s">
        <v>480</v>
      </c>
      <c r="L26" s="968"/>
      <c r="M26" s="968"/>
      <c r="N26" s="582"/>
      <c r="O26" s="443"/>
      <c r="P26" s="515">
        <f>+F43</f>
        <v>6378056.3220088147</v>
      </c>
      <c r="Q26" s="436" t="str">
        <f>+C43</f>
        <v xml:space="preserve">   Income Taxes  (TCOS, ln 109)</v>
      </c>
      <c r="R26" s="140"/>
      <c r="S26" s="40"/>
    </row>
    <row r="27" spans="1:19" ht="14.25" customHeight="1">
      <c r="A27" s="198"/>
      <c r="C27" s="149"/>
      <c r="D27" s="310"/>
      <c r="E27" s="310"/>
      <c r="F27" s="148"/>
      <c r="G27" s="148"/>
      <c r="H27" s="148"/>
      <c r="I27" s="148"/>
      <c r="O27" s="151"/>
      <c r="P27" s="515">
        <f>+F44</f>
        <v>0</v>
      </c>
      <c r="Q27" s="436" t="str">
        <f>C44</f>
        <v xml:space="preserve">  Gross Margin Taxes  (TCOS, ln 114)</v>
      </c>
      <c r="R27" s="140"/>
      <c r="S27" s="138"/>
    </row>
    <row r="28" spans="1:19" ht="19.5" customHeight="1">
      <c r="A28" s="198">
        <f>+A24+1</f>
        <v>13</v>
      </c>
      <c r="C28" s="158" t="s">
        <v>426</v>
      </c>
      <c r="D28" s="260"/>
      <c r="F28" s="969">
        <f>E24</f>
        <v>40363665.164115556</v>
      </c>
      <c r="G28" s="148"/>
      <c r="H28" s="148"/>
      <c r="I28" s="148"/>
      <c r="O28" s="148"/>
      <c r="P28" s="515">
        <f>+F54</f>
        <v>21756023.463906325</v>
      </c>
      <c r="Q28" s="436" t="str">
        <f>+C54</f>
        <v xml:space="preserve">   Less: Depreciation  (TCOS, ln 84)</v>
      </c>
      <c r="R28" s="140"/>
      <c r="S28" s="40"/>
    </row>
    <row r="29" spans="1:19">
      <c r="A29" s="198">
        <f t="shared" si="0"/>
        <v>14</v>
      </c>
      <c r="C29" s="149" t="str">
        <f>"   Tax Rate  (TCOS, ln "&amp;'PSO TCOS'!B164&amp;")"</f>
        <v xml:space="preserve">   Tax Rate  (TCOS, ln 97)</v>
      </c>
      <c r="D29" s="260"/>
      <c r="F29" s="164">
        <f>+'PSO TCOS'!G164</f>
        <v>0.2533709999999999</v>
      </c>
      <c r="G29" s="148"/>
      <c r="H29" s="148"/>
      <c r="I29" s="148"/>
      <c r="O29" s="148"/>
      <c r="P29" s="516">
        <f>+F60</f>
        <v>0</v>
      </c>
      <c r="Q29" s="436" t="str">
        <f>+C60</f>
        <v xml:space="preserve">       Apportionment Factor to Texas (Worksheet K, ln 12)</v>
      </c>
      <c r="R29" s="140"/>
      <c r="S29" s="40"/>
    </row>
    <row r="30" spans="1:19">
      <c r="A30" s="198">
        <f t="shared" si="0"/>
        <v>15</v>
      </c>
      <c r="C30" s="158" t="s">
        <v>232</v>
      </c>
      <c r="F30" s="139">
        <f>IF(F15&gt;0,($F29/(1-$F29))*(1-$F15/$F18),0)</f>
        <v>0.22915777847180038</v>
      </c>
      <c r="P30" s="515">
        <f>+F70</f>
        <v>657550074.02061653</v>
      </c>
      <c r="Q30" s="436" t="str">
        <f>+C70</f>
        <v xml:space="preserve">   Net Transmission Plant  (TCOS, ln 37)</v>
      </c>
      <c r="R30" s="140"/>
      <c r="S30" s="40"/>
    </row>
    <row r="31" spans="1:19">
      <c r="A31" s="198">
        <f t="shared" si="0"/>
        <v>16</v>
      </c>
      <c r="C31" s="146" t="s">
        <v>233</v>
      </c>
      <c r="F31" s="207">
        <f>F28*F30</f>
        <v>9249647.8399883192</v>
      </c>
      <c r="P31" s="517">
        <f>+F76</f>
        <v>0.11522430269379706</v>
      </c>
      <c r="Q31" s="450" t="str">
        <f>+C76</f>
        <v xml:space="preserve">   FCR less Depreciation  (TCOS, ln 10)</v>
      </c>
      <c r="R31" s="140"/>
      <c r="S31" s="147"/>
    </row>
    <row r="32" spans="1:19" ht="15">
      <c r="A32" s="198">
        <f t="shared" si="0"/>
        <v>17</v>
      </c>
      <c r="C32" s="149" t="str">
        <f>"   ITC Adjustment  (TCOS, ln "&amp;'PSO TCOS'!B174&amp;")"</f>
        <v xml:space="preserve">   ITC Adjustment  (TCOS, ln 106)</v>
      </c>
      <c r="D32" s="21"/>
      <c r="F32" s="148">
        <f>+'PSO TCOS'!L174</f>
        <v>-393625.88846337283</v>
      </c>
      <c r="G32" s="21"/>
      <c r="H32" s="21"/>
      <c r="I32" s="21"/>
      <c r="O32" s="21"/>
      <c r="P32" s="518">
        <f>+F80</f>
        <v>907181078.47208798</v>
      </c>
      <c r="Q32" s="447" t="str">
        <f>+C80</f>
        <v>Transmission Plant @ Beginning of Period (Worksheet A ln 9 col. ((D))</v>
      </c>
      <c r="R32" s="140"/>
      <c r="S32" s="138"/>
    </row>
    <row r="33" spans="1:19" ht="15">
      <c r="A33" s="198">
        <f t="shared" si="0"/>
        <v>18</v>
      </c>
      <c r="C33" s="149" t="str">
        <f>"   Excess DFIT Adjustment  (TCOS, ln "&amp;'PSO TCOS'!B175&amp;")"</f>
        <v xml:space="preserve">   Excess DFIT Adjustment  (TCOS, ln 107)</v>
      </c>
      <c r="D33" s="21"/>
      <c r="F33" s="148">
        <f>+'PSO TCOS'!L175</f>
        <v>-2558969.7158829882</v>
      </c>
      <c r="G33" s="21"/>
      <c r="H33" s="21"/>
      <c r="I33" s="21"/>
      <c r="O33" s="21"/>
      <c r="P33" s="518">
        <f>+F81</f>
        <v>946288588.49154496</v>
      </c>
      <c r="Q33" s="448" t="str">
        <f>+C81</f>
        <v>Transmission Plant @ End of Period (Worksheet A ln 9 col. ((C))</v>
      </c>
      <c r="R33" s="140"/>
      <c r="S33" s="138"/>
    </row>
    <row r="34" spans="1:19" ht="15">
      <c r="A34" s="198">
        <f t="shared" si="0"/>
        <v>19</v>
      </c>
      <c r="C34" s="149" t="str">
        <f>"   Tax Effect of Permanent and Flow Through Differences  (TCOS, ln "&amp;'PSO TCOS'!B176&amp;")"</f>
        <v xml:space="preserve">   Tax Effect of Permanent and Flow Through Differences  (TCOS, ln 108)</v>
      </c>
      <c r="D34" s="21"/>
      <c r="F34" s="148">
        <f>+'PSO TCOS'!L176</f>
        <v>81004.086366856878</v>
      </c>
      <c r="G34" s="21"/>
      <c r="H34" s="21"/>
      <c r="I34" s="21"/>
      <c r="O34" s="21"/>
      <c r="P34" s="518">
        <f>+F83</f>
        <v>926734833.48181653</v>
      </c>
      <c r="Q34" s="451" t="str">
        <f>+C83</f>
        <v xml:space="preserve">Transmission Plant Average Balance for 2019 </v>
      </c>
      <c r="R34" s="140"/>
      <c r="S34" s="138"/>
    </row>
    <row r="35" spans="1:19" ht="15.75" thickBot="1">
      <c r="A35" s="198">
        <f t="shared" si="0"/>
        <v>20</v>
      </c>
      <c r="C35" s="146" t="s">
        <v>427</v>
      </c>
      <c r="D35" s="21"/>
      <c r="F35" s="660">
        <f>+SUM(F31:F34)</f>
        <v>6378056.3220088147</v>
      </c>
      <c r="G35" s="21"/>
      <c r="H35" s="21"/>
      <c r="I35" s="21"/>
      <c r="O35" s="21"/>
      <c r="P35" s="440">
        <f>+F84</f>
        <v>23388402.214859501</v>
      </c>
      <c r="Q35" s="452" t="str">
        <f>+C84</f>
        <v>Annual Depreciation Expense  (TCOS, ln 84)</v>
      </c>
    </row>
    <row r="36" spans="1:19" ht="12.75" customHeight="1">
      <c r="A36" s="198"/>
      <c r="C36" s="16"/>
      <c r="D36" s="21"/>
      <c r="E36" s="21"/>
      <c r="F36" s="21"/>
      <c r="G36" s="21"/>
      <c r="H36" s="21"/>
      <c r="I36" s="21"/>
      <c r="O36" s="21"/>
      <c r="P36" s="38"/>
    </row>
    <row r="37" spans="1:19" ht="18.75">
      <c r="A37" s="198"/>
      <c r="B37" s="136" t="s">
        <v>348</v>
      </c>
      <c r="C37" s="137" t="str">
        <f>"Calculate Net Plant Carrying Charge Rate (Fixed Charge Rate or FCR) with hypothetical "&amp;F11&amp;" basis point"</f>
        <v>Calculate Net Plant Carrying Charge Rate (Fixed Charge Rate or FCR) with hypothetical 0 basis point</v>
      </c>
      <c r="D37" s="21"/>
      <c r="E37" s="21"/>
      <c r="F37" s="21"/>
      <c r="G37" s="21"/>
      <c r="H37" s="21"/>
      <c r="I37" s="21"/>
      <c r="O37" s="21"/>
      <c r="P37" s="38"/>
    </row>
    <row r="38" spans="1:19" ht="18.75" customHeight="1">
      <c r="A38" s="198"/>
      <c r="B38" s="136"/>
      <c r="C38" s="137" t="str">
        <f>"ROE increase."</f>
        <v>ROE increase.</v>
      </c>
      <c r="D38" s="21"/>
      <c r="E38" s="21"/>
      <c r="F38" s="21"/>
      <c r="G38" s="21"/>
      <c r="H38" s="21"/>
      <c r="I38" s="21"/>
      <c r="O38" s="21"/>
      <c r="P38" s="194" t="s">
        <v>196</v>
      </c>
      <c r="Q38" s="363" t="s">
        <v>489</v>
      </c>
    </row>
    <row r="39" spans="1:19" ht="12.75" customHeight="1">
      <c r="A39" s="198"/>
      <c r="C39" s="16"/>
      <c r="D39" s="21"/>
      <c r="E39" s="21"/>
      <c r="F39" s="21"/>
      <c r="G39" s="21"/>
      <c r="H39" s="21"/>
      <c r="I39" s="21"/>
      <c r="O39" s="21"/>
      <c r="P39" s="38"/>
    </row>
    <row r="40" spans="1:19" ht="15.75">
      <c r="A40" s="198"/>
      <c r="C40" s="206" t="s">
        <v>175</v>
      </c>
      <c r="D40" s="21"/>
      <c r="E40" s="21"/>
      <c r="F40" s="20"/>
      <c r="G40" s="20"/>
      <c r="H40" s="21"/>
      <c r="I40" s="21"/>
      <c r="O40" s="21"/>
      <c r="P40" s="38"/>
    </row>
    <row r="41" spans="1:19" ht="12.75" customHeight="1">
      <c r="A41" s="198">
        <f>+A35+1</f>
        <v>21</v>
      </c>
      <c r="C41" s="149" t="str">
        <f>"   Net Revenue Requirement  (TCOS, ln "&amp;'PSO TCOS'!B189&amp;")"</f>
        <v xml:space="preserve">   Net Revenue Requirement  (TCOS, ln 115)</v>
      </c>
      <c r="D41" s="150"/>
      <c r="E41" s="150"/>
      <c r="F41" s="148">
        <f>+'PSO TCOS'!L189</f>
        <v>97521772.229186505</v>
      </c>
      <c r="G41" s="148"/>
      <c r="H41" s="150"/>
      <c r="I41" s="150"/>
      <c r="J41" s="150"/>
      <c r="K41" s="150"/>
      <c r="L41" s="150"/>
      <c r="M41" s="150"/>
      <c r="N41" s="148"/>
      <c r="O41" s="150"/>
      <c r="P41" s="363" t="s">
        <v>197</v>
      </c>
      <c r="Q41" s="363" t="s">
        <v>489</v>
      </c>
    </row>
    <row r="42" spans="1:19">
      <c r="A42" s="198">
        <f t="shared" si="0"/>
        <v>22</v>
      </c>
      <c r="C42" s="149" t="str">
        <f>"   Return  (TCOS, ln "&amp;'PSO TCOS'!B180&amp;")"</f>
        <v xml:space="preserve">   Return  (TCOS, ln 110)</v>
      </c>
      <c r="D42" s="150"/>
      <c r="E42" s="150"/>
      <c r="F42" s="151">
        <f>+'PSO TCOS'!L180</f>
        <v>40363665.164115556</v>
      </c>
      <c r="G42" s="151"/>
      <c r="H42" s="152"/>
      <c r="I42" s="152"/>
      <c r="J42" s="152"/>
      <c r="K42" s="152"/>
      <c r="L42" s="152"/>
      <c r="M42" s="152"/>
      <c r="N42" s="148"/>
      <c r="O42" s="152"/>
      <c r="P42" s="363"/>
      <c r="Q42" s="194"/>
    </row>
    <row r="43" spans="1:19">
      <c r="A43" s="198">
        <f t="shared" si="0"/>
        <v>23</v>
      </c>
      <c r="C43" s="149" t="str">
        <f>"   Income Taxes  (TCOS, ln "&amp;'PSO TCOS'!B178&amp;")"</f>
        <v xml:space="preserve">   Income Taxes  (TCOS, ln 109)</v>
      </c>
      <c r="D43" s="150"/>
      <c r="E43" s="150"/>
      <c r="F43" s="148">
        <f>+'PSO TCOS'!L178</f>
        <v>6378056.3220088147</v>
      </c>
      <c r="G43" s="148"/>
      <c r="H43" s="150"/>
      <c r="I43" s="150"/>
      <c r="J43" s="154"/>
      <c r="K43" s="154"/>
      <c r="L43" s="154"/>
      <c r="M43" s="154"/>
      <c r="N43" s="150"/>
      <c r="O43" s="154"/>
      <c r="P43" s="592" t="s">
        <v>193</v>
      </c>
      <c r="Q43" s="590" t="s">
        <v>194</v>
      </c>
    </row>
    <row r="44" spans="1:19" ht="13.5" thickBot="1">
      <c r="A44" s="198">
        <f t="shared" si="0"/>
        <v>24</v>
      </c>
      <c r="C44" s="149" t="str">
        <f>"  Gross Margin Taxes  (TCOS, ln "&amp;'PSO TCOS'!B187&amp;")"</f>
        <v xml:space="preserve">  Gross Margin Taxes  (TCOS, ln 114)</v>
      </c>
      <c r="D44" s="150"/>
      <c r="E44" s="150"/>
      <c r="F44" s="204">
        <f>+'PSO TCOS'!L187</f>
        <v>0</v>
      </c>
      <c r="G44" s="148"/>
      <c r="H44" s="150"/>
      <c r="I44" s="150"/>
      <c r="J44" s="154"/>
      <c r="K44" s="154"/>
      <c r="L44" s="154"/>
      <c r="M44" s="154"/>
      <c r="N44" s="150"/>
      <c r="O44" s="154"/>
      <c r="P44" s="591" t="s">
        <v>86</v>
      </c>
      <c r="Q44" s="588"/>
    </row>
    <row r="45" spans="1:19">
      <c r="A45" s="198">
        <f t="shared" si="0"/>
        <v>25</v>
      </c>
      <c r="C45" s="40" t="s">
        <v>36</v>
      </c>
      <c r="D45" s="150"/>
      <c r="E45" s="150"/>
      <c r="F45" s="151">
        <f>F41-F42-F43-F44</f>
        <v>50780050.743062139</v>
      </c>
      <c r="G45" s="151"/>
      <c r="H45" s="155"/>
      <c r="I45" s="150"/>
      <c r="J45" s="155"/>
      <c r="K45" s="155"/>
      <c r="L45" s="155"/>
      <c r="M45" s="155"/>
      <c r="N45" s="155"/>
      <c r="O45" s="155"/>
      <c r="P45" s="1381">
        <v>7470466.2267492693</v>
      </c>
      <c r="Q45" s="588" t="s">
        <v>190</v>
      </c>
    </row>
    <row r="46" spans="1:19" s="40" customFormat="1">
      <c r="A46" s="198"/>
      <c r="B46" s="38"/>
      <c r="C46" s="149"/>
      <c r="D46" s="150"/>
      <c r="E46" s="150"/>
      <c r="F46" s="148"/>
      <c r="G46" s="148"/>
      <c r="H46" s="156"/>
      <c r="I46" s="157"/>
      <c r="J46" s="157"/>
      <c r="K46" s="157"/>
      <c r="L46" s="157"/>
      <c r="M46" s="157"/>
      <c r="N46" s="157"/>
      <c r="O46" s="157"/>
      <c r="P46" s="1382">
        <v>7470466.2267492693</v>
      </c>
      <c r="Q46" s="588" t="s">
        <v>191</v>
      </c>
      <c r="R46" s="38"/>
      <c r="S46" s="38"/>
    </row>
    <row r="47" spans="1:19" s="40" customFormat="1" ht="16.5" thickBot="1">
      <c r="A47" s="198"/>
      <c r="B47" s="38"/>
      <c r="C47" s="206" t="str">
        <f>"B.   Determine Net Revenue Requirement with hypothetical "&amp;F11&amp;" basis point increase in ROE."</f>
        <v>B.   Determine Net Revenue Requirement with hypothetical 0 basis point increase in ROE.</v>
      </c>
      <c r="D47" s="158"/>
      <c r="E47" s="158"/>
      <c r="F47" s="148"/>
      <c r="G47" s="148"/>
      <c r="H47" s="156"/>
      <c r="I47" s="157"/>
      <c r="J47" s="157"/>
      <c r="K47" s="157"/>
      <c r="L47" s="157"/>
      <c r="M47" s="157"/>
      <c r="N47" s="157"/>
      <c r="O47" s="157"/>
      <c r="P47" s="1359">
        <v>0</v>
      </c>
      <c r="Q47" s="588" t="s">
        <v>192</v>
      </c>
      <c r="R47" s="38"/>
      <c r="S47" s="38"/>
    </row>
    <row r="48" spans="1:19" s="40" customFormat="1">
      <c r="A48" s="198">
        <f>+A45+1</f>
        <v>26</v>
      </c>
      <c r="B48" s="38"/>
      <c r="C48" s="149" t="str">
        <f>C45</f>
        <v xml:space="preserve">   Net Revenue Requirement, Less Return and Taxes</v>
      </c>
      <c r="D48" s="158"/>
      <c r="E48" s="158"/>
      <c r="F48" s="148">
        <f>F45</f>
        <v>50780050.743062139</v>
      </c>
      <c r="G48" s="148"/>
      <c r="H48" s="150"/>
      <c r="I48" s="150"/>
      <c r="J48" s="150"/>
      <c r="K48" s="150"/>
      <c r="L48" s="150"/>
      <c r="M48" s="150"/>
      <c r="N48" s="159"/>
      <c r="O48" s="150"/>
      <c r="Q48" s="38"/>
      <c r="R48" s="38"/>
      <c r="S48" s="38"/>
    </row>
    <row r="49" spans="1:19" s="40" customFormat="1">
      <c r="A49" s="198">
        <f t="shared" si="0"/>
        <v>27</v>
      </c>
      <c r="B49" s="38"/>
      <c r="C49" s="158" t="s">
        <v>435</v>
      </c>
      <c r="D49" s="160"/>
      <c r="F49" s="161">
        <f>E24</f>
        <v>40363665.164115556</v>
      </c>
      <c r="G49" s="161"/>
      <c r="I49" s="162"/>
      <c r="Q49" s="38"/>
      <c r="R49" s="38"/>
      <c r="S49" s="38"/>
    </row>
    <row r="50" spans="1:19" s="40" customFormat="1" ht="12.75" customHeight="1">
      <c r="A50" s="198">
        <f t="shared" si="0"/>
        <v>28</v>
      </c>
      <c r="B50" s="38"/>
      <c r="C50" s="149" t="s">
        <v>428</v>
      </c>
      <c r="D50" s="150"/>
      <c r="E50" s="150"/>
      <c r="F50" s="248">
        <f>F35</f>
        <v>6378056.3220088147</v>
      </c>
      <c r="G50" s="153"/>
      <c r="H50" s="38"/>
      <c r="I50" s="171"/>
      <c r="J50" s="38"/>
      <c r="K50" s="38"/>
      <c r="L50" s="38"/>
      <c r="M50" s="38"/>
      <c r="N50" s="38"/>
      <c r="Q50" s="38"/>
      <c r="R50" s="38"/>
      <c r="S50" s="38"/>
    </row>
    <row r="51" spans="1:19" s="40" customFormat="1">
      <c r="A51" s="198">
        <f t="shared" si="0"/>
        <v>29</v>
      </c>
      <c r="B51" s="38"/>
      <c r="C51" s="40" t="str">
        <f>"   Net Revenue Requirement, with "&amp;F11&amp;" Basis Point ROE increase"</f>
        <v xml:space="preserve">   Net Revenue Requirement, with 0 Basis Point ROE increase</v>
      </c>
      <c r="D51" s="198"/>
      <c r="E51" s="38"/>
      <c r="F51" s="207">
        <f>SUM(F48:F50)</f>
        <v>97521772.229186505</v>
      </c>
      <c r="G51" s="207"/>
      <c r="H51" s="38"/>
      <c r="I51" s="171"/>
      <c r="J51" s="38"/>
      <c r="K51" s="38"/>
      <c r="L51" s="38"/>
      <c r="M51" s="38"/>
      <c r="N51" s="38"/>
      <c r="Q51" s="38"/>
      <c r="R51" s="38"/>
      <c r="S51" s="38"/>
    </row>
    <row r="52" spans="1:19" s="40" customFormat="1">
      <c r="A52" s="198">
        <f t="shared" si="0"/>
        <v>30</v>
      </c>
      <c r="B52" s="38"/>
      <c r="C52" s="147" t="str">
        <f>"   Gross Margin Tax with "&amp;F88&amp;" Basis Point ROE Increase (II C. below)"</f>
        <v xml:space="preserve">   Gross Margin Tax with  Basis Point ROE Increase (II C. below)</v>
      </c>
      <c r="D52" s="163"/>
      <c r="E52" s="163"/>
      <c r="F52" s="205">
        <f>+F67</f>
        <v>0</v>
      </c>
      <c r="G52" s="161"/>
      <c r="H52" s="38"/>
      <c r="I52" s="171"/>
      <c r="J52" s="38"/>
      <c r="K52" s="38"/>
      <c r="L52" s="38"/>
      <c r="M52" s="38"/>
      <c r="N52" s="38"/>
      <c r="Q52" s="38"/>
      <c r="R52" s="38"/>
      <c r="S52" s="38"/>
    </row>
    <row r="53" spans="1:19" s="40" customFormat="1">
      <c r="A53" s="198">
        <f t="shared" si="0"/>
        <v>31</v>
      </c>
      <c r="B53" s="38"/>
      <c r="C53" s="40" t="s">
        <v>37</v>
      </c>
      <c r="D53" s="198"/>
      <c r="E53" s="38"/>
      <c r="F53" s="161">
        <f>+F51+F52</f>
        <v>97521772.229186505</v>
      </c>
      <c r="G53" s="161"/>
      <c r="H53" s="38"/>
      <c r="I53" s="171"/>
      <c r="J53" s="38"/>
      <c r="K53" s="38"/>
      <c r="L53" s="38"/>
      <c r="M53" s="38"/>
      <c r="N53" s="38"/>
      <c r="Q53" s="38"/>
      <c r="R53" s="38"/>
      <c r="S53" s="38"/>
    </row>
    <row r="54" spans="1:19" s="40" customFormat="1">
      <c r="A54" s="198">
        <f t="shared" si="0"/>
        <v>32</v>
      </c>
      <c r="B54" s="38"/>
      <c r="C54" s="149" t="str">
        <f>"   Less: Depreciation  (TCOS, ln "&amp;'PSO TCOS'!B149&amp;")"</f>
        <v xml:space="preserve">   Less: Depreciation  (TCOS, ln 84)</v>
      </c>
      <c r="D54" s="198"/>
      <c r="E54" s="38"/>
      <c r="F54" s="264">
        <f>+'PSO TCOS'!L149</f>
        <v>21756023.463906325</v>
      </c>
      <c r="G54" s="264"/>
      <c r="H54" s="38"/>
      <c r="I54" s="171"/>
      <c r="J54" s="38"/>
      <c r="K54" s="38"/>
      <c r="L54" s="38"/>
      <c r="M54" s="38"/>
      <c r="N54" s="38"/>
      <c r="Q54" s="38"/>
      <c r="R54" s="38"/>
      <c r="S54" s="38"/>
    </row>
    <row r="55" spans="1:19" s="40" customFormat="1">
      <c r="A55" s="198">
        <f t="shared" si="0"/>
        <v>33</v>
      </c>
      <c r="B55" s="38"/>
      <c r="C55" s="40" t="str">
        <f>"   Net Rev. Req, w/"&amp;F11&amp;" Basis Point ROE increase, less Depreciation"</f>
        <v xml:space="preserve">   Net Rev. Req, w/0 Basis Point ROE increase, less Depreciation</v>
      </c>
      <c r="D55" s="198"/>
      <c r="E55" s="38"/>
      <c r="F55" s="207">
        <f>F53-F54</f>
        <v>75765748.765280187</v>
      </c>
      <c r="G55" s="207"/>
      <c r="H55" s="38"/>
      <c r="I55" s="171"/>
      <c r="J55" s="38"/>
      <c r="K55" s="38"/>
      <c r="L55" s="38"/>
      <c r="M55" s="38"/>
      <c r="N55" s="38"/>
      <c r="Q55" s="38"/>
      <c r="R55" s="38"/>
      <c r="S55" s="38"/>
    </row>
    <row r="56" spans="1:19" s="40" customFormat="1">
      <c r="A56" s="198"/>
      <c r="B56" s="38"/>
      <c r="C56" s="38"/>
      <c r="D56" s="198"/>
      <c r="E56" s="38"/>
      <c r="F56" s="38"/>
      <c r="G56" s="38"/>
      <c r="H56" s="38"/>
      <c r="I56" s="171"/>
      <c r="J56" s="38"/>
      <c r="K56" s="38"/>
      <c r="L56" s="38"/>
      <c r="M56" s="38"/>
      <c r="N56" s="38"/>
      <c r="Q56" s="38"/>
      <c r="R56" s="38"/>
      <c r="S56" s="38"/>
    </row>
    <row r="57" spans="1:19" s="40" customFormat="1" ht="15.75">
      <c r="A57" s="198"/>
      <c r="B57" s="38"/>
      <c r="C57" s="206" t="str">
        <f>"C.   Determine Gross Margin Tax with hypothetical "&amp;F11&amp;" basis point increase in ROE."</f>
        <v>C.   Determine Gross Margin Tax with hypothetical 0 basis point increase in ROE.</v>
      </c>
      <c r="D57" s="163"/>
      <c r="E57" s="163"/>
      <c r="F57" s="207"/>
      <c r="G57" s="207"/>
      <c r="H57" s="38"/>
      <c r="I57" s="171"/>
      <c r="J57" s="38"/>
      <c r="K57" s="38"/>
      <c r="L57" s="38"/>
      <c r="M57" s="38"/>
      <c r="N57" s="38"/>
      <c r="Q57" s="38"/>
      <c r="R57" s="38"/>
      <c r="S57" s="38"/>
    </row>
    <row r="58" spans="1:19" s="40" customFormat="1">
      <c r="A58" s="198">
        <f>+A55+1</f>
        <v>34</v>
      </c>
      <c r="B58" s="38"/>
      <c r="C58" s="147" t="str">
        <f>"   Net Revenue Requirement before Gross Margin Taxes, with "&amp;F11&amp;" "</f>
        <v xml:space="preserve">   Net Revenue Requirement before Gross Margin Taxes, with 0 </v>
      </c>
      <c r="D58" s="163"/>
      <c r="E58" s="163"/>
      <c r="F58" s="207">
        <f>+F51</f>
        <v>97521772.229186505</v>
      </c>
      <c r="G58" s="207"/>
      <c r="H58" s="38"/>
      <c r="I58" s="171"/>
      <c r="J58" s="38"/>
      <c r="K58" s="38"/>
      <c r="L58" s="38"/>
      <c r="M58" s="38"/>
      <c r="N58" s="38"/>
      <c r="Q58" s="38"/>
      <c r="R58" s="38"/>
      <c r="S58" s="38"/>
    </row>
    <row r="59" spans="1:19" s="40" customFormat="1">
      <c r="A59" s="198">
        <f t="shared" si="0"/>
        <v>35</v>
      </c>
      <c r="B59" s="38"/>
      <c r="C59" s="147" t="s">
        <v>38</v>
      </c>
      <c r="D59" s="163"/>
      <c r="E59" s="163"/>
      <c r="F59" s="207"/>
      <c r="G59" s="207"/>
      <c r="H59" s="38"/>
      <c r="I59" s="171"/>
      <c r="J59" s="38"/>
      <c r="K59" s="38"/>
      <c r="L59" s="38"/>
      <c r="M59" s="38"/>
      <c r="N59" s="38"/>
      <c r="Q59" s="38"/>
      <c r="R59" s="38"/>
      <c r="S59" s="38"/>
    </row>
    <row r="60" spans="1:19" s="40" customFormat="1">
      <c r="A60" s="198">
        <f t="shared" si="0"/>
        <v>36</v>
      </c>
      <c r="B60" s="38"/>
      <c r="C60" s="40" t="str">
        <f>"       Apportionment Factor to Texas (Worksheet K, ln "&amp;'PSO WS K State Taxes'!A52&amp;")"</f>
        <v xml:space="preserve">       Apportionment Factor to Texas (Worksheet K, ln 12)</v>
      </c>
      <c r="D60" s="198"/>
      <c r="E60" s="38"/>
      <c r="F60" s="208">
        <f>+'PSO WS K State Taxes'!E52</f>
        <v>0</v>
      </c>
      <c r="G60" s="164"/>
      <c r="H60" s="38"/>
      <c r="I60" s="171"/>
      <c r="J60" s="38"/>
      <c r="K60" s="38"/>
      <c r="L60" s="38"/>
      <c r="M60" s="38"/>
      <c r="N60" s="38"/>
      <c r="Q60" s="38"/>
      <c r="R60" s="38"/>
      <c r="S60" s="38"/>
    </row>
    <row r="61" spans="1:19" s="171" customFormat="1">
      <c r="A61" s="198">
        <f t="shared" si="0"/>
        <v>37</v>
      </c>
      <c r="B61" s="38"/>
      <c r="C61" s="40" t="s">
        <v>39</v>
      </c>
      <c r="D61" s="198"/>
      <c r="E61" s="38"/>
      <c r="F61" s="207">
        <f>+F60*F58</f>
        <v>0</v>
      </c>
      <c r="G61" s="207"/>
      <c r="H61" s="38"/>
      <c r="J61" s="38"/>
      <c r="K61" s="38"/>
      <c r="L61" s="38"/>
      <c r="M61" s="38"/>
      <c r="N61" s="38"/>
      <c r="O61" s="40"/>
      <c r="P61" s="40"/>
      <c r="Q61" s="38"/>
      <c r="R61" s="38"/>
      <c r="S61" s="38"/>
    </row>
    <row r="62" spans="1:19" s="171" customFormat="1">
      <c r="A62" s="198">
        <f t="shared" si="0"/>
        <v>38</v>
      </c>
      <c r="B62" s="38"/>
      <c r="C62" s="40" t="s">
        <v>1429</v>
      </c>
      <c r="D62" s="198"/>
      <c r="E62" s="38"/>
      <c r="F62" s="1384">
        <v>0.22</v>
      </c>
      <c r="G62" s="252"/>
      <c r="H62" s="38"/>
      <c r="J62" s="38"/>
      <c r="K62" s="38"/>
      <c r="L62" s="38"/>
      <c r="M62" s="38"/>
      <c r="N62" s="38"/>
      <c r="O62" s="40"/>
      <c r="P62" s="40"/>
      <c r="Q62" s="38"/>
      <c r="R62" s="38"/>
      <c r="S62" s="38"/>
    </row>
    <row r="63" spans="1:19" s="171" customFormat="1">
      <c r="A63" s="198">
        <f t="shared" si="0"/>
        <v>39</v>
      </c>
      <c r="B63" s="38"/>
      <c r="C63" s="40" t="s">
        <v>40</v>
      </c>
      <c r="D63" s="198"/>
      <c r="E63" s="38"/>
      <c r="F63" s="207">
        <f>+F61*F62</f>
        <v>0</v>
      </c>
      <c r="G63" s="207"/>
      <c r="H63" s="38"/>
      <c r="J63" s="38"/>
      <c r="K63" s="38"/>
      <c r="L63" s="38"/>
      <c r="M63" s="38"/>
      <c r="N63" s="38"/>
      <c r="O63" s="40"/>
      <c r="P63" s="40"/>
      <c r="Q63" s="38"/>
      <c r="R63" s="38"/>
      <c r="S63" s="38"/>
    </row>
    <row r="64" spans="1:19" s="171" customFormat="1">
      <c r="A64" s="198">
        <f t="shared" si="0"/>
        <v>40</v>
      </c>
      <c r="B64" s="38"/>
      <c r="C64" s="40" t="s">
        <v>41</v>
      </c>
      <c r="D64" s="198"/>
      <c r="E64" s="38"/>
      <c r="F64" s="1384">
        <v>0.01</v>
      </c>
      <c r="G64" s="252"/>
      <c r="H64" s="38"/>
      <c r="J64" s="38"/>
      <c r="K64" s="38"/>
      <c r="L64" s="38"/>
      <c r="M64" s="38"/>
      <c r="N64" s="38"/>
      <c r="O64" s="40"/>
      <c r="P64" s="40"/>
      <c r="Q64" s="38"/>
      <c r="R64" s="38"/>
      <c r="S64" s="38"/>
    </row>
    <row r="65" spans="1:19" s="171" customFormat="1">
      <c r="A65" s="198">
        <f t="shared" si="0"/>
        <v>41</v>
      </c>
      <c r="B65" s="38"/>
      <c r="C65" s="40" t="s">
        <v>42</v>
      </c>
      <c r="D65" s="198"/>
      <c r="E65" s="38"/>
      <c r="F65" s="207">
        <f>+F63*F64</f>
        <v>0</v>
      </c>
      <c r="G65" s="207"/>
      <c r="H65" s="38"/>
      <c r="J65" s="38"/>
      <c r="K65" s="38"/>
      <c r="L65" s="38"/>
      <c r="M65" s="38"/>
      <c r="N65" s="38"/>
      <c r="O65" s="40"/>
      <c r="P65" s="40"/>
      <c r="Q65" s="38"/>
      <c r="R65" s="38"/>
      <c r="S65" s="38"/>
    </row>
    <row r="66" spans="1:19" s="171" customFormat="1">
      <c r="A66" s="198">
        <f t="shared" si="0"/>
        <v>42</v>
      </c>
      <c r="B66" s="38"/>
      <c r="C66" s="40" t="s">
        <v>43</v>
      </c>
      <c r="D66" s="198"/>
      <c r="E66" s="38"/>
      <c r="F66" s="209">
        <f>+ROUND((F65*F62*F60)/(1-F64)*F64,0)</f>
        <v>0</v>
      </c>
      <c r="G66" s="253"/>
      <c r="H66" s="38"/>
      <c r="J66" s="38"/>
      <c r="K66" s="38"/>
      <c r="L66" s="38"/>
      <c r="M66" s="38"/>
      <c r="N66" s="38"/>
      <c r="O66" s="40"/>
      <c r="P66" s="40"/>
      <c r="Q66" s="38"/>
      <c r="R66" s="38"/>
      <c r="S66" s="38"/>
    </row>
    <row r="67" spans="1:19" s="171" customFormat="1">
      <c r="A67" s="198">
        <f t="shared" si="0"/>
        <v>43</v>
      </c>
      <c r="B67" s="38"/>
      <c r="C67" s="40" t="s">
        <v>44</v>
      </c>
      <c r="D67" s="198"/>
      <c r="E67" s="38"/>
      <c r="F67" s="207">
        <f>+F65+F66</f>
        <v>0</v>
      </c>
      <c r="G67" s="207"/>
      <c r="H67" s="38"/>
      <c r="J67" s="38"/>
      <c r="K67" s="38"/>
      <c r="L67" s="38"/>
      <c r="M67" s="38"/>
      <c r="N67" s="38"/>
      <c r="O67" s="40"/>
      <c r="P67" s="40"/>
      <c r="Q67" s="38"/>
      <c r="R67" s="38"/>
      <c r="S67" s="38"/>
    </row>
    <row r="68" spans="1:19" s="171" customFormat="1">
      <c r="A68" s="198"/>
      <c r="B68" s="38"/>
      <c r="C68" s="38"/>
      <c r="D68" s="198"/>
      <c r="E68" s="38"/>
      <c r="F68" s="38"/>
      <c r="G68" s="38"/>
      <c r="H68" s="38"/>
      <c r="J68" s="38"/>
      <c r="K68" s="38"/>
      <c r="L68" s="38"/>
      <c r="M68" s="38"/>
      <c r="N68" s="38"/>
      <c r="O68" s="40"/>
      <c r="P68" s="40"/>
      <c r="Q68" s="38"/>
      <c r="R68" s="38"/>
      <c r="S68" s="38"/>
    </row>
    <row r="69" spans="1:19" s="171" customFormat="1" ht="15.75">
      <c r="A69" s="198"/>
      <c r="B69" s="38"/>
      <c r="C69" s="206" t="str">
        <f>"D.   Determine FCR with hypothetical "&amp;F11&amp;" basis point ROE increase."</f>
        <v>D.   Determine FCR with hypothetical 0 basis point ROE increase.</v>
      </c>
      <c r="D69" s="198"/>
      <c r="E69" s="38"/>
      <c r="F69" s="38"/>
      <c r="G69" s="38"/>
      <c r="H69" s="38"/>
      <c r="J69" s="38"/>
      <c r="K69" s="38"/>
      <c r="L69" s="38"/>
      <c r="M69" s="38"/>
      <c r="N69" s="38"/>
      <c r="O69" s="40"/>
      <c r="P69" s="40"/>
      <c r="Q69" s="38"/>
      <c r="R69" s="38"/>
      <c r="S69" s="38"/>
    </row>
    <row r="70" spans="1:19" s="171" customFormat="1">
      <c r="A70" s="198">
        <f>+A67+1</f>
        <v>44</v>
      </c>
      <c r="B70" s="38"/>
      <c r="C70" s="149" t="str">
        <f>"   Net Transmission Plant  (TCOS, ln "&amp;'PSO TCOS'!B78&amp;")"</f>
        <v xml:space="preserve">   Net Transmission Plant  (TCOS, ln 37)</v>
      </c>
      <c r="D70" s="198"/>
      <c r="E70" s="38"/>
      <c r="F70" s="207">
        <f>+'PSO TCOS'!L78</f>
        <v>657550074.02061653</v>
      </c>
      <c r="G70" s="207"/>
      <c r="H70" s="38"/>
      <c r="J70" s="38"/>
      <c r="K70" s="38"/>
      <c r="L70" s="38"/>
      <c r="M70" s="38"/>
      <c r="N70" s="38"/>
      <c r="O70" s="40"/>
      <c r="P70" s="40"/>
      <c r="Q70" s="38"/>
      <c r="R70" s="38"/>
      <c r="S70" s="38"/>
    </row>
    <row r="71" spans="1:19" s="171" customFormat="1" ht="15">
      <c r="A71" s="198">
        <f t="shared" si="0"/>
        <v>45</v>
      </c>
      <c r="B71" s="38"/>
      <c r="C71" s="40" t="str">
        <f>"   Net Revenue Requirement, with "&amp;F11&amp;" Basis Point ROE increase"</f>
        <v xml:space="preserve">   Net Revenue Requirement, with 0 Basis Point ROE increase</v>
      </c>
      <c r="D71" s="198"/>
      <c r="E71" s="38"/>
      <c r="F71" s="312">
        <f>+F53</f>
        <v>97521772.229186505</v>
      </c>
      <c r="G71" s="312"/>
      <c r="H71" s="38"/>
      <c r="J71" s="38"/>
      <c r="K71" s="38"/>
      <c r="L71" s="38"/>
      <c r="M71" s="38"/>
      <c r="N71" s="38"/>
      <c r="O71" s="40"/>
      <c r="P71" s="40"/>
      <c r="Q71" s="38"/>
      <c r="R71" s="38"/>
      <c r="S71" s="38"/>
    </row>
    <row r="72" spans="1:19" s="171" customFormat="1">
      <c r="A72" s="198">
        <f t="shared" si="0"/>
        <v>46</v>
      </c>
      <c r="B72" s="38"/>
      <c r="C72" s="40" t="str">
        <f>"   FCR with "&amp;F11&amp;" Basis Point increase in ROE"</f>
        <v xml:space="preserve">   FCR with 0 Basis Point increase in ROE</v>
      </c>
      <c r="D72" s="198"/>
      <c r="E72" s="38"/>
      <c r="F72" s="265">
        <f>IF(F70=0,0,F71/F70)</f>
        <v>0.1483107919567033</v>
      </c>
      <c r="G72" s="265"/>
      <c r="H72" s="38"/>
      <c r="J72" s="38"/>
      <c r="K72" s="38"/>
      <c r="L72" s="38"/>
      <c r="M72" s="38"/>
      <c r="N72" s="38"/>
      <c r="O72" s="40"/>
      <c r="P72" s="40"/>
      <c r="Q72" s="38"/>
      <c r="R72" s="38"/>
      <c r="S72" s="38"/>
    </row>
    <row r="73" spans="1:19" s="171" customFormat="1">
      <c r="A73" s="198"/>
      <c r="B73" s="38"/>
      <c r="C73" s="38"/>
      <c r="D73" s="198"/>
      <c r="E73" s="38"/>
      <c r="F73" s="38"/>
      <c r="G73" s="38"/>
      <c r="H73" s="265"/>
      <c r="J73" s="38"/>
      <c r="K73" s="38"/>
      <c r="L73" s="38"/>
      <c r="M73" s="38"/>
      <c r="N73" s="38"/>
      <c r="O73" s="40"/>
      <c r="P73" s="40"/>
      <c r="Q73" s="38"/>
      <c r="R73" s="38"/>
      <c r="S73" s="38"/>
    </row>
    <row r="74" spans="1:19" s="171" customFormat="1">
      <c r="A74" s="198">
        <f>+A72+1</f>
        <v>47</v>
      </c>
      <c r="B74" s="38"/>
      <c r="C74" s="40" t="str">
        <f>"   Net Rev. Req, w / "&amp;F11&amp;" Basis Point ROE increase, less Dep."</f>
        <v xml:space="preserve">   Net Rev. Req, w / 0 Basis Point ROE increase, less Dep.</v>
      </c>
      <c r="D74" s="198"/>
      <c r="E74" s="38"/>
      <c r="F74" s="207">
        <f>+F55</f>
        <v>75765748.765280187</v>
      </c>
      <c r="G74" s="207"/>
      <c r="H74" s="38"/>
      <c r="J74" s="38"/>
      <c r="K74" s="38"/>
      <c r="L74" s="38"/>
      <c r="M74" s="38"/>
      <c r="N74" s="38"/>
      <c r="O74" s="40"/>
      <c r="P74" s="40"/>
      <c r="Q74" s="38"/>
      <c r="R74" s="38"/>
      <c r="S74" s="38"/>
    </row>
    <row r="75" spans="1:19" s="171" customFormat="1">
      <c r="A75" s="198">
        <f t="shared" ref="A75:A87" si="1">+A74+1</f>
        <v>48</v>
      </c>
      <c r="B75" s="38"/>
      <c r="C75" s="40" t="str">
        <f>"   FCR with "&amp;F11&amp;" Basis Point ROE increase, less Depreciation"</f>
        <v xml:space="preserve">   FCR with 0 Basis Point ROE increase, less Depreciation</v>
      </c>
      <c r="D75" s="198"/>
      <c r="E75" s="38"/>
      <c r="F75" s="265">
        <f>IF(F70=0,0,F74/F70)</f>
        <v>0.11522430269379706</v>
      </c>
      <c r="G75" s="265"/>
      <c r="H75" s="207"/>
      <c r="J75" s="38"/>
      <c r="K75" s="38"/>
      <c r="L75" s="38"/>
      <c r="M75" s="38"/>
      <c r="N75" s="38"/>
      <c r="O75" s="40"/>
      <c r="P75" s="40"/>
      <c r="Q75" s="38"/>
      <c r="R75" s="38"/>
      <c r="S75" s="38"/>
    </row>
    <row r="76" spans="1:19">
      <c r="A76" s="198">
        <f t="shared" si="1"/>
        <v>49</v>
      </c>
      <c r="C76" s="149" t="str">
        <f>"   FCR less Depreciation  (TCOS, ln "&amp;'PSO TCOS'!B29&amp;")"</f>
        <v xml:space="preserve">   FCR less Depreciation  (TCOS, ln 10)</v>
      </c>
      <c r="F76" s="266">
        <f>+'PSO TCOS'!L29</f>
        <v>0.11522430269379706</v>
      </c>
      <c r="G76" s="266"/>
      <c r="H76" s="386"/>
    </row>
    <row r="77" spans="1:19">
      <c r="A77" s="198">
        <f t="shared" si="1"/>
        <v>50</v>
      </c>
      <c r="C77" s="40" t="str">
        <f>"   Incremental FCR with "&amp;F11&amp;" Basis Point ROE increase, less Depreciation"</f>
        <v xml:space="preserve">   Incremental FCR with 0 Basis Point ROE increase, less Depreciation</v>
      </c>
      <c r="F77" s="265">
        <f>F75-F76</f>
        <v>0</v>
      </c>
      <c r="G77" s="265"/>
    </row>
    <row r="78" spans="1:19">
      <c r="A78" s="198"/>
      <c r="C78" s="40"/>
      <c r="F78" s="265"/>
      <c r="G78" s="265"/>
    </row>
    <row r="79" spans="1:19" ht="18.75">
      <c r="A79" s="198"/>
      <c r="B79" s="136" t="s">
        <v>349</v>
      </c>
      <c r="C79" s="137" t="s">
        <v>429</v>
      </c>
      <c r="F79" s="265"/>
      <c r="G79" s="265"/>
    </row>
    <row r="80" spans="1:19" ht="12.75" customHeight="1">
      <c r="A80" s="198">
        <f>+A77+1</f>
        <v>51</v>
      </c>
      <c r="B80" s="136"/>
      <c r="C80" s="40" t="str">
        <f>"Transmission Plant @ Beginning of Period (Worksheet A ln "&amp;'PSO WS A RB Support '!A25&amp;" col. ("&amp;'PSO WS A RB Support '!F6&amp;")"</f>
        <v>Transmission Plant @ Beginning of Period (Worksheet A ln 9 col. ((D))</v>
      </c>
      <c r="F80" s="171">
        <f>+'PSO WS A RB Support '!F25</f>
        <v>907181078.47208798</v>
      </c>
    </row>
    <row r="81" spans="1:16" ht="12.75" customHeight="1">
      <c r="A81" s="198">
        <f t="shared" si="1"/>
        <v>52</v>
      </c>
      <c r="B81" s="136"/>
      <c r="C81" s="40" t="str">
        <f>"Transmission Plant @ End of Period (Worksheet A ln "&amp;'PSO WS A RB Support '!A25&amp;" col. ("&amp;'PSO WS A RB Support '!E6&amp;")"</f>
        <v>Transmission Plant @ End of Period (Worksheet A ln 9 col. ((C))</v>
      </c>
      <c r="F81" s="1259">
        <f>+'PSO WS A RB Support '!E25</f>
        <v>946288588.49154496</v>
      </c>
    </row>
    <row r="82" spans="1:16" ht="12.75" customHeight="1">
      <c r="A82" s="198"/>
      <c r="B82" s="136"/>
      <c r="C82" s="40"/>
      <c r="F82" s="171">
        <f>+F81+F80</f>
        <v>1853469666.9636331</v>
      </c>
      <c r="G82" s="171"/>
    </row>
    <row r="83" spans="1:16">
      <c r="A83" s="198">
        <f>+A81+1</f>
        <v>53</v>
      </c>
      <c r="C83" s="40" t="str">
        <f>"Transmission Plant Average Balance for "&amp;'PSO TCOS'!$N$1&amp;" "</f>
        <v xml:space="preserve">Transmission Plant Average Balance for 2019 </v>
      </c>
      <c r="F83" s="162">
        <f>+F82/2</f>
        <v>926734833.48181653</v>
      </c>
      <c r="G83" s="162"/>
    </row>
    <row r="84" spans="1:16">
      <c r="A84" s="198">
        <f t="shared" si="1"/>
        <v>54</v>
      </c>
      <c r="C84" s="970" t="str">
        <f>"Annual Depreciation Expense  (TCOS, ln "&amp;'PSO TCOS'!B149&amp;")"</f>
        <v>Annual Depreciation Expense  (TCOS, ln 84)</v>
      </c>
      <c r="F84" s="162">
        <f>+'PSO TCOS'!G149</f>
        <v>23388402.214859501</v>
      </c>
      <c r="G84" s="162"/>
    </row>
    <row r="85" spans="1:16">
      <c r="A85" s="198">
        <f t="shared" si="1"/>
        <v>55</v>
      </c>
      <c r="C85" s="40" t="s">
        <v>430</v>
      </c>
      <c r="F85" s="265">
        <f>IF(F83=0,0,F84/F83)</f>
        <v>2.5237426467490612E-2</v>
      </c>
      <c r="G85" s="265"/>
      <c r="I85" s="444"/>
    </row>
    <row r="86" spans="1:16">
      <c r="A86" s="198">
        <f t="shared" si="1"/>
        <v>56</v>
      </c>
      <c r="C86" s="40" t="s">
        <v>431</v>
      </c>
      <c r="F86" s="267">
        <f>IF(F85=0,0,1/F85)</f>
        <v>39.623691476155145</v>
      </c>
      <c r="G86" s="267"/>
    </row>
    <row r="87" spans="1:16">
      <c r="A87" s="198">
        <f t="shared" si="1"/>
        <v>57</v>
      </c>
      <c r="C87" s="40" t="s">
        <v>432</v>
      </c>
      <c r="F87" s="268">
        <f>ROUND(F86,0)</f>
        <v>40</v>
      </c>
      <c r="G87" s="268"/>
    </row>
    <row r="88" spans="1:16">
      <c r="C88" s="40"/>
      <c r="F88" s="268"/>
      <c r="G88" s="268"/>
    </row>
    <row r="89" spans="1:16">
      <c r="C89" s="40"/>
      <c r="F89" s="268"/>
      <c r="G89" s="268"/>
    </row>
    <row r="90" spans="1:16" ht="20.25">
      <c r="A90" s="971" t="str">
        <f>"'Worksheet F --  "&amp;'PSO TCOS'!F7&amp;" --  Calculation of Projected ARR for SPP Base Plan Upgrade Projects"</f>
        <v>'Worksheet F --  PUBLIC SERVICE COMPANY OF OKLAHOMA --  Calculation of Projected ARR for SPP Base Plan Upgrade Projects</v>
      </c>
      <c r="B90" s="520"/>
      <c r="C90" s="40"/>
      <c r="D90" s="521"/>
      <c r="E90" s="520"/>
      <c r="F90" s="522"/>
      <c r="G90" s="520"/>
      <c r="H90" s="589"/>
      <c r="I90" s="520"/>
      <c r="J90" s="524"/>
      <c r="K90" s="523"/>
      <c r="L90" s="523"/>
      <c r="M90" s="523"/>
      <c r="N90" s="416"/>
      <c r="O90" s="520"/>
    </row>
    <row r="91" spans="1:16" ht="18">
      <c r="A91" s="520"/>
      <c r="B91" s="520"/>
      <c r="C91" s="520"/>
      <c r="D91" s="521"/>
      <c r="E91" s="520"/>
      <c r="F91" s="520"/>
      <c r="G91" s="520"/>
      <c r="H91" s="589"/>
      <c r="I91" s="520"/>
      <c r="J91" s="524"/>
      <c r="K91" s="520"/>
      <c r="L91" s="520"/>
      <c r="M91" s="520"/>
      <c r="N91" s="525"/>
      <c r="O91" s="520"/>
    </row>
    <row r="92" spans="1:16" ht="18.75">
      <c r="A92" s="520"/>
      <c r="B92" s="136" t="s">
        <v>350</v>
      </c>
      <c r="C92" s="137" t="s">
        <v>498</v>
      </c>
      <c r="D92" s="521"/>
      <c r="E92" s="520"/>
      <c r="F92" s="520"/>
      <c r="G92" s="520"/>
      <c r="H92" s="589"/>
      <c r="I92" s="589"/>
      <c r="J92" s="526"/>
      <c r="K92" s="589"/>
      <c r="L92" s="589"/>
      <c r="M92" s="589"/>
      <c r="N92" s="589"/>
      <c r="O92" s="520"/>
      <c r="P92" s="527"/>
    </row>
    <row r="93" spans="1:16" ht="15.75" thickBot="1">
      <c r="A93" s="520"/>
      <c r="B93" s="520"/>
      <c r="C93" s="16"/>
      <c r="D93" s="521"/>
      <c r="E93" s="520"/>
      <c r="F93" s="520"/>
      <c r="G93" s="520"/>
      <c r="H93" s="589"/>
      <c r="I93" s="589"/>
      <c r="J93" s="526"/>
      <c r="K93" s="589"/>
      <c r="L93" s="589"/>
      <c r="M93" s="589"/>
      <c r="N93" s="589"/>
      <c r="O93" s="520"/>
      <c r="P93" s="520"/>
    </row>
    <row r="94" spans="1:16" ht="15">
      <c r="A94" s="520"/>
      <c r="B94" s="520"/>
      <c r="C94" s="528" t="s">
        <v>499</v>
      </c>
      <c r="D94" s="521"/>
      <c r="E94" s="520"/>
      <c r="F94" s="520"/>
      <c r="G94" s="972"/>
      <c r="H94" s="583"/>
      <c r="I94" s="520"/>
      <c r="J94" s="524"/>
      <c r="K94" s="973" t="s">
        <v>533</v>
      </c>
      <c r="L94" s="529"/>
      <c r="M94" s="530"/>
      <c r="N94" s="531"/>
      <c r="O94" s="520"/>
      <c r="P94" s="520"/>
    </row>
    <row r="95" spans="1:16" ht="15.75">
      <c r="A95" s="520"/>
      <c r="B95" s="520"/>
      <c r="C95" s="532"/>
      <c r="D95" s="521"/>
      <c r="E95" s="520"/>
      <c r="F95" s="520"/>
      <c r="G95" s="520"/>
      <c r="H95" s="533"/>
      <c r="I95" s="533"/>
      <c r="J95" s="534"/>
      <c r="K95" s="974" t="s">
        <v>534</v>
      </c>
      <c r="L95" s="535"/>
      <c r="M95" s="524"/>
      <c r="N95" s="536"/>
      <c r="O95" s="520"/>
      <c r="P95" s="520"/>
    </row>
    <row r="96" spans="1:16" ht="13.5" thickBot="1">
      <c r="A96" s="520"/>
      <c r="B96" s="520"/>
      <c r="C96" s="194" t="s">
        <v>500</v>
      </c>
      <c r="D96" s="975"/>
      <c r="E96" s="975"/>
      <c r="F96" s="975"/>
      <c r="G96" s="520"/>
      <c r="H96" s="589"/>
      <c r="I96" s="589"/>
      <c r="J96" s="526"/>
      <c r="K96" s="537" t="s">
        <v>501</v>
      </c>
      <c r="L96" s="538"/>
      <c r="M96" s="538"/>
      <c r="N96" s="539">
        <f>+N95-N94</f>
        <v>0</v>
      </c>
      <c r="O96" s="520"/>
      <c r="P96" s="520"/>
    </row>
    <row r="97" spans="1:16" ht="13.5" thickBot="1">
      <c r="A97" s="520"/>
      <c r="B97" s="520"/>
      <c r="C97" s="976"/>
      <c r="D97" s="163"/>
      <c r="E97" s="344"/>
      <c r="F97" s="344"/>
      <c r="G97" s="344"/>
      <c r="H97" s="344"/>
      <c r="I97" s="344"/>
      <c r="J97" s="508"/>
      <c r="K97" s="344"/>
      <c r="L97" s="344"/>
      <c r="M97" s="344"/>
      <c r="N97" s="344"/>
      <c r="O97" s="508"/>
    </row>
    <row r="98" spans="1:16" ht="13.5" thickBot="1">
      <c r="A98" s="520"/>
      <c r="B98" s="520"/>
      <c r="C98" s="540" t="s">
        <v>502</v>
      </c>
      <c r="D98" s="977"/>
      <c r="E98" s="1010" t="s">
        <v>1145</v>
      </c>
      <c r="F98" s="541"/>
      <c r="G98" s="541"/>
      <c r="H98" s="541"/>
      <c r="I98" s="542"/>
      <c r="J98" s="39"/>
      <c r="K98" s="520"/>
      <c r="L98" s="520"/>
      <c r="M98" s="520"/>
      <c r="N98" s="520"/>
      <c r="O98" s="978"/>
      <c r="P98" s="524"/>
    </row>
    <row r="99" spans="1:16">
      <c r="A99" s="520"/>
      <c r="B99" s="520"/>
      <c r="C99" s="587" t="s">
        <v>503</v>
      </c>
      <c r="D99" s="979"/>
      <c r="E99" s="147" t="s">
        <v>65</v>
      </c>
      <c r="F99" s="978"/>
      <c r="G99" s="543"/>
      <c r="H99" s="543"/>
      <c r="I99" s="544">
        <f>+K18</f>
        <v>2019</v>
      </c>
      <c r="J99" s="39"/>
      <c r="K99" s="526" t="s">
        <v>504</v>
      </c>
      <c r="L99" s="520"/>
      <c r="M99" s="520"/>
      <c r="N99" s="520"/>
      <c r="O99" s="524"/>
      <c r="P99" s="524"/>
    </row>
    <row r="100" spans="1:16">
      <c r="A100" s="520"/>
      <c r="B100" s="520"/>
      <c r="C100" s="438" t="s">
        <v>505</v>
      </c>
      <c r="D100" s="980"/>
      <c r="E100" s="438" t="s">
        <v>506</v>
      </c>
      <c r="F100" s="543"/>
      <c r="G100" s="524"/>
      <c r="H100" s="524"/>
      <c r="I100" s="545">
        <f>+F11</f>
        <v>0</v>
      </c>
      <c r="J100" s="546"/>
      <c r="K100" s="520" t="str">
        <f>"          INPUT PROJECTED ARR (WITH &amp; WITHOUT INCENTIVES) FROM EACH PRIOR YEAR"</f>
        <v xml:space="preserve">          INPUT PROJECTED ARR (WITH &amp; WITHOUT INCENTIVES) FROM EACH PRIOR YEAR</v>
      </c>
      <c r="L100" s="520"/>
      <c r="M100" s="520"/>
      <c r="N100" s="520"/>
      <c r="O100" s="524"/>
      <c r="P100" s="524"/>
    </row>
    <row r="101" spans="1:16">
      <c r="A101" s="520"/>
      <c r="B101" s="520"/>
      <c r="C101" s="438" t="s">
        <v>507</v>
      </c>
      <c r="D101" s="979">
        <v>0</v>
      </c>
      <c r="E101" s="438" t="s">
        <v>508</v>
      </c>
      <c r="F101" s="543"/>
      <c r="G101" s="524"/>
      <c r="H101" s="524"/>
      <c r="I101" s="547">
        <f>+F76</f>
        <v>0.11522430269379706</v>
      </c>
      <c r="J101" s="164"/>
      <c r="K101" s="520" t="s">
        <v>509</v>
      </c>
      <c r="L101" s="520"/>
      <c r="M101" s="520"/>
      <c r="N101" s="520"/>
      <c r="O101" s="524"/>
      <c r="P101" s="524"/>
    </row>
    <row r="102" spans="1:16">
      <c r="A102" s="520"/>
      <c r="B102" s="520"/>
      <c r="C102" s="438" t="s">
        <v>510</v>
      </c>
      <c r="D102" s="979">
        <v>0</v>
      </c>
      <c r="E102" s="438" t="s">
        <v>511</v>
      </c>
      <c r="F102" s="543"/>
      <c r="G102" s="524"/>
      <c r="H102" s="524"/>
      <c r="I102" s="547">
        <f>IF(G94="",I101,F75)</f>
        <v>0.11522430269379706</v>
      </c>
      <c r="J102" s="164"/>
      <c r="K102" s="526" t="s">
        <v>512</v>
      </c>
      <c r="L102" s="548"/>
      <c r="M102" s="548"/>
      <c r="N102" s="548"/>
      <c r="O102" s="524"/>
      <c r="P102" s="524"/>
    </row>
    <row r="103" spans="1:16" ht="13.5" thickBot="1">
      <c r="A103" s="520"/>
      <c r="B103" s="520"/>
      <c r="C103" s="438" t="s">
        <v>513</v>
      </c>
      <c r="D103" s="980"/>
      <c r="E103" s="524" t="s">
        <v>514</v>
      </c>
      <c r="F103" s="543"/>
      <c r="G103" s="524"/>
      <c r="H103" s="524"/>
      <c r="I103" s="549">
        <f>IF(D99=0,0,D99/D102)</f>
        <v>0</v>
      </c>
      <c r="J103" s="526"/>
      <c r="K103" s="526"/>
      <c r="L103" s="526"/>
      <c r="M103" s="526"/>
      <c r="N103" s="526"/>
      <c r="O103" s="524"/>
      <c r="P103" s="524"/>
    </row>
    <row r="104" spans="1:16" ht="66" customHeight="1">
      <c r="A104" s="520"/>
      <c r="B104" s="520"/>
      <c r="C104" s="550" t="s">
        <v>433</v>
      </c>
      <c r="D104" s="551" t="s">
        <v>515</v>
      </c>
      <c r="E104" s="551" t="s">
        <v>516</v>
      </c>
      <c r="F104" s="551" t="s">
        <v>517</v>
      </c>
      <c r="G104" s="585" t="s">
        <v>518</v>
      </c>
      <c r="H104" s="552" t="s">
        <v>519</v>
      </c>
      <c r="I104" s="550" t="s">
        <v>520</v>
      </c>
      <c r="J104" s="553"/>
      <c r="K104" s="554" t="s">
        <v>521</v>
      </c>
      <c r="L104" s="555" t="s">
        <v>522</v>
      </c>
      <c r="M104" s="554" t="s">
        <v>521</v>
      </c>
      <c r="N104" s="555" t="s">
        <v>522</v>
      </c>
      <c r="O104" s="556" t="s">
        <v>523</v>
      </c>
      <c r="P104" s="524"/>
    </row>
    <row r="105" spans="1:16" ht="15" customHeight="1" thickBot="1">
      <c r="A105" s="520"/>
      <c r="B105" s="520"/>
      <c r="C105" s="584" t="s">
        <v>524</v>
      </c>
      <c r="D105" s="557" t="s">
        <v>353</v>
      </c>
      <c r="E105" s="557" t="s">
        <v>252</v>
      </c>
      <c r="F105" s="557" t="s">
        <v>353</v>
      </c>
      <c r="G105" s="586" t="s">
        <v>525</v>
      </c>
      <c r="H105" s="558" t="s">
        <v>526</v>
      </c>
      <c r="I105" s="559" t="s">
        <v>1138</v>
      </c>
      <c r="J105" s="560" t="s">
        <v>527</v>
      </c>
      <c r="K105" s="561" t="s">
        <v>528</v>
      </c>
      <c r="L105" s="562" t="s">
        <v>528</v>
      </c>
      <c r="M105" s="561" t="s">
        <v>1139</v>
      </c>
      <c r="N105" s="563" t="s">
        <v>1139</v>
      </c>
      <c r="O105" s="561" t="s">
        <v>1139</v>
      </c>
      <c r="P105" s="524"/>
    </row>
    <row r="106" spans="1:16">
      <c r="A106" s="520"/>
      <c r="B106" s="521"/>
      <c r="C106" s="564" t="str">
        <f>IF(D100= "","-",D100)</f>
        <v>-</v>
      </c>
      <c r="D106" s="565">
        <f>D99</f>
        <v>0</v>
      </c>
      <c r="E106" s="566">
        <f>I103/12*(12-D101)</f>
        <v>0</v>
      </c>
      <c r="F106" s="565">
        <f t="shared" ref="F106:F161" si="2">+D106-E106</f>
        <v>0</v>
      </c>
      <c r="G106" s="566">
        <f>+I101*F106+E106</f>
        <v>0</v>
      </c>
      <c r="H106" s="549">
        <f>+I102*F106+E106</f>
        <v>0</v>
      </c>
      <c r="I106" s="567">
        <f t="shared" ref="I106:I161" si="3">H106-G106</f>
        <v>0</v>
      </c>
      <c r="J106" s="567"/>
      <c r="K106" s="981"/>
      <c r="L106" s="568">
        <f t="shared" ref="L106:L161" si="4">IF(K106&lt;&gt;0,+G106-K106,0)</f>
        <v>0</v>
      </c>
      <c r="M106" s="981"/>
      <c r="N106" s="568">
        <f t="shared" ref="N106:N161" si="5">IF(M106&lt;&gt;0,+H106-M106,0)</f>
        <v>0</v>
      </c>
      <c r="O106" s="569">
        <f t="shared" ref="O106:O161" si="6">+N106-L106</f>
        <v>0</v>
      </c>
      <c r="P106" s="524"/>
    </row>
    <row r="107" spans="1:16">
      <c r="A107" s="520"/>
      <c r="B107" s="521" t="str">
        <f>IF(D107=F106,"","IU")</f>
        <v/>
      </c>
      <c r="C107" s="564" t="str">
        <f>IF(D100="","-",+C106+1)</f>
        <v>-</v>
      </c>
      <c r="D107" s="570">
        <f t="shared" ref="D107:D161" si="7">F106</f>
        <v>0</v>
      </c>
      <c r="E107" s="571">
        <f>IF(+I103&lt;F106,I103,D107)</f>
        <v>0</v>
      </c>
      <c r="F107" s="570">
        <f t="shared" si="2"/>
        <v>0</v>
      </c>
      <c r="G107" s="571">
        <f>+I$10*F107+E107</f>
        <v>0</v>
      </c>
      <c r="H107" s="549">
        <f>+I$11*F107+E107</f>
        <v>0</v>
      </c>
      <c r="I107" s="567">
        <f t="shared" si="3"/>
        <v>0</v>
      </c>
      <c r="J107" s="567"/>
      <c r="K107" s="982"/>
      <c r="L107" s="569">
        <f t="shared" si="4"/>
        <v>0</v>
      </c>
      <c r="M107" s="982"/>
      <c r="N107" s="569">
        <f t="shared" si="5"/>
        <v>0</v>
      </c>
      <c r="O107" s="569">
        <f t="shared" si="6"/>
        <v>0</v>
      </c>
      <c r="P107" s="524"/>
    </row>
    <row r="108" spans="1:16">
      <c r="A108" s="520"/>
      <c r="B108" s="521" t="str">
        <f>IF(D108=F107,"","IU")</f>
        <v/>
      </c>
      <c r="C108" s="564" t="str">
        <f>IF(D100="","-",+C107+1)</f>
        <v>-</v>
      </c>
      <c r="D108" s="570">
        <f t="shared" si="7"/>
        <v>0</v>
      </c>
      <c r="E108" s="571">
        <f>IF(+I103&lt;F107,I103,D108)</f>
        <v>0</v>
      </c>
      <c r="F108" s="570">
        <f t="shared" si="2"/>
        <v>0</v>
      </c>
      <c r="G108" s="571">
        <f t="shared" ref="G108:G161" si="8">+I$10*F108+E108</f>
        <v>0</v>
      </c>
      <c r="H108" s="549">
        <f t="shared" ref="H108:H161" si="9">+I$11*F108+E108</f>
        <v>0</v>
      </c>
      <c r="I108" s="567">
        <f t="shared" si="3"/>
        <v>0</v>
      </c>
      <c r="J108" s="567"/>
      <c r="K108" s="982"/>
      <c r="L108" s="569">
        <f t="shared" si="4"/>
        <v>0</v>
      </c>
      <c r="M108" s="982"/>
      <c r="N108" s="569">
        <f t="shared" si="5"/>
        <v>0</v>
      </c>
      <c r="O108" s="569">
        <f t="shared" si="6"/>
        <v>0</v>
      </c>
      <c r="P108" s="524"/>
    </row>
    <row r="109" spans="1:16">
      <c r="A109" s="520"/>
      <c r="B109" s="521" t="str">
        <f t="shared" ref="B109:B161" si="10">IF(D109=F108,"","IU")</f>
        <v/>
      </c>
      <c r="C109" s="564" t="str">
        <f>IF(D100="","-",+C108+1)</f>
        <v>-</v>
      </c>
      <c r="D109" s="570">
        <f t="shared" si="7"/>
        <v>0</v>
      </c>
      <c r="E109" s="571">
        <f>IF(+I103&lt;F108,I103,D109)</f>
        <v>0</v>
      </c>
      <c r="F109" s="570">
        <f t="shared" si="2"/>
        <v>0</v>
      </c>
      <c r="G109" s="571">
        <f t="shared" si="8"/>
        <v>0</v>
      </c>
      <c r="H109" s="549">
        <f t="shared" si="9"/>
        <v>0</v>
      </c>
      <c r="I109" s="567">
        <f t="shared" si="3"/>
        <v>0</v>
      </c>
      <c r="J109" s="567"/>
      <c r="K109" s="982"/>
      <c r="L109" s="569">
        <f t="shared" si="4"/>
        <v>0</v>
      </c>
      <c r="M109" s="982"/>
      <c r="N109" s="569">
        <f t="shared" si="5"/>
        <v>0</v>
      </c>
      <c r="O109" s="569">
        <f t="shared" si="6"/>
        <v>0</v>
      </c>
      <c r="P109" s="524"/>
    </row>
    <row r="110" spans="1:16">
      <c r="A110" s="520"/>
      <c r="B110" s="521" t="str">
        <f t="shared" si="10"/>
        <v/>
      </c>
      <c r="C110" s="564" t="str">
        <f>IF(D100="","-",+C109+1)</f>
        <v>-</v>
      </c>
      <c r="D110" s="570">
        <f t="shared" si="7"/>
        <v>0</v>
      </c>
      <c r="E110" s="571">
        <f>IF(+I103&lt;F109,I103,D110)</f>
        <v>0</v>
      </c>
      <c r="F110" s="570">
        <f t="shared" si="2"/>
        <v>0</v>
      </c>
      <c r="G110" s="571">
        <f t="shared" si="8"/>
        <v>0</v>
      </c>
      <c r="H110" s="549">
        <f t="shared" si="9"/>
        <v>0</v>
      </c>
      <c r="I110" s="567">
        <f t="shared" si="3"/>
        <v>0</v>
      </c>
      <c r="J110" s="567"/>
      <c r="K110" s="982"/>
      <c r="L110" s="569">
        <f t="shared" si="4"/>
        <v>0</v>
      </c>
      <c r="M110" s="982"/>
      <c r="N110" s="569">
        <f t="shared" si="5"/>
        <v>0</v>
      </c>
      <c r="O110" s="569">
        <f t="shared" si="6"/>
        <v>0</v>
      </c>
      <c r="P110" s="524"/>
    </row>
    <row r="111" spans="1:16">
      <c r="A111" s="520"/>
      <c r="B111" s="521" t="str">
        <f t="shared" si="10"/>
        <v/>
      </c>
      <c r="C111" s="564" t="str">
        <f>IF(D100="","-",+C110+1)</f>
        <v>-</v>
      </c>
      <c r="D111" s="570">
        <f t="shared" si="7"/>
        <v>0</v>
      </c>
      <c r="E111" s="571">
        <f>IF(+I103&lt;F110,I103,D111)</f>
        <v>0</v>
      </c>
      <c r="F111" s="570">
        <f t="shared" si="2"/>
        <v>0</v>
      </c>
      <c r="G111" s="571">
        <f t="shared" si="8"/>
        <v>0</v>
      </c>
      <c r="H111" s="549">
        <f t="shared" si="9"/>
        <v>0</v>
      </c>
      <c r="I111" s="567">
        <f t="shared" si="3"/>
        <v>0</v>
      </c>
      <c r="J111" s="567"/>
      <c r="K111" s="982"/>
      <c r="L111" s="569">
        <f t="shared" si="4"/>
        <v>0</v>
      </c>
      <c r="M111" s="982"/>
      <c r="N111" s="569">
        <f t="shared" si="5"/>
        <v>0</v>
      </c>
      <c r="O111" s="569">
        <f t="shared" si="6"/>
        <v>0</v>
      </c>
      <c r="P111" s="524"/>
    </row>
    <row r="112" spans="1:16">
      <c r="A112" s="520"/>
      <c r="B112" s="521" t="str">
        <f t="shared" si="10"/>
        <v/>
      </c>
      <c r="C112" s="564" t="str">
        <f>IF(D100="","-",+C111+1)</f>
        <v>-</v>
      </c>
      <c r="D112" s="570">
        <f t="shared" si="7"/>
        <v>0</v>
      </c>
      <c r="E112" s="571">
        <f>IF(+I103&lt;F111,I103,D112)</f>
        <v>0</v>
      </c>
      <c r="F112" s="570">
        <f t="shared" si="2"/>
        <v>0</v>
      </c>
      <c r="G112" s="571">
        <f t="shared" si="8"/>
        <v>0</v>
      </c>
      <c r="H112" s="549">
        <f t="shared" si="9"/>
        <v>0</v>
      </c>
      <c r="I112" s="567">
        <f t="shared" si="3"/>
        <v>0</v>
      </c>
      <c r="J112" s="567"/>
      <c r="K112" s="982"/>
      <c r="L112" s="569">
        <f t="shared" si="4"/>
        <v>0</v>
      </c>
      <c r="M112" s="982"/>
      <c r="N112" s="569">
        <f t="shared" si="5"/>
        <v>0</v>
      </c>
      <c r="O112" s="569">
        <f t="shared" si="6"/>
        <v>0</v>
      </c>
      <c r="P112" s="524"/>
    </row>
    <row r="113" spans="1:16">
      <c r="A113" s="520"/>
      <c r="B113" s="521" t="str">
        <f t="shared" si="10"/>
        <v/>
      </c>
      <c r="C113" s="564" t="str">
        <f>IF(D100="","-",+C112+1)</f>
        <v>-</v>
      </c>
      <c r="D113" s="570">
        <f t="shared" si="7"/>
        <v>0</v>
      </c>
      <c r="E113" s="571">
        <f>IF(+I103&lt;F112,I103,D113)</f>
        <v>0</v>
      </c>
      <c r="F113" s="570">
        <f t="shared" si="2"/>
        <v>0</v>
      </c>
      <c r="G113" s="571">
        <f t="shared" si="8"/>
        <v>0</v>
      </c>
      <c r="H113" s="549">
        <f t="shared" si="9"/>
        <v>0</v>
      </c>
      <c r="I113" s="567">
        <f t="shared" si="3"/>
        <v>0</v>
      </c>
      <c r="J113" s="567"/>
      <c r="K113" s="982"/>
      <c r="L113" s="569">
        <f t="shared" si="4"/>
        <v>0</v>
      </c>
      <c r="M113" s="982"/>
      <c r="N113" s="569">
        <f t="shared" si="5"/>
        <v>0</v>
      </c>
      <c r="O113" s="569">
        <f t="shared" si="6"/>
        <v>0</v>
      </c>
      <c r="P113" s="524"/>
    </row>
    <row r="114" spans="1:16">
      <c r="A114" s="520"/>
      <c r="B114" s="521" t="str">
        <f t="shared" si="10"/>
        <v/>
      </c>
      <c r="C114" s="564" t="str">
        <f>IF(D100="","-",+C113+1)</f>
        <v>-</v>
      </c>
      <c r="D114" s="570">
        <f t="shared" si="7"/>
        <v>0</v>
      </c>
      <c r="E114" s="571">
        <f>IF(+I103&lt;F113,I103,D114)</f>
        <v>0</v>
      </c>
      <c r="F114" s="570">
        <f t="shared" si="2"/>
        <v>0</v>
      </c>
      <c r="G114" s="571">
        <f t="shared" si="8"/>
        <v>0</v>
      </c>
      <c r="H114" s="549">
        <f t="shared" si="9"/>
        <v>0</v>
      </c>
      <c r="I114" s="567">
        <f t="shared" si="3"/>
        <v>0</v>
      </c>
      <c r="J114" s="567"/>
      <c r="K114" s="982"/>
      <c r="L114" s="569">
        <f t="shared" si="4"/>
        <v>0</v>
      </c>
      <c r="M114" s="982"/>
      <c r="N114" s="569">
        <f t="shared" si="5"/>
        <v>0</v>
      </c>
      <c r="O114" s="569">
        <f t="shared" si="6"/>
        <v>0</v>
      </c>
      <c r="P114" s="524"/>
    </row>
    <row r="115" spans="1:16">
      <c r="A115" s="520"/>
      <c r="B115" s="521" t="str">
        <f t="shared" si="10"/>
        <v/>
      </c>
      <c r="C115" s="564" t="str">
        <f>IF(D100="","-",+C114+1)</f>
        <v>-</v>
      </c>
      <c r="D115" s="570">
        <f t="shared" si="7"/>
        <v>0</v>
      </c>
      <c r="E115" s="571">
        <f>IF(+I103&lt;F114,I103,D115)</f>
        <v>0</v>
      </c>
      <c r="F115" s="570">
        <f t="shared" si="2"/>
        <v>0</v>
      </c>
      <c r="G115" s="571">
        <f t="shared" si="8"/>
        <v>0</v>
      </c>
      <c r="H115" s="549">
        <f t="shared" si="9"/>
        <v>0</v>
      </c>
      <c r="I115" s="567">
        <f t="shared" si="3"/>
        <v>0</v>
      </c>
      <c r="J115" s="567"/>
      <c r="K115" s="982"/>
      <c r="L115" s="569">
        <f t="shared" si="4"/>
        <v>0</v>
      </c>
      <c r="M115" s="982"/>
      <c r="N115" s="569">
        <f t="shared" si="5"/>
        <v>0</v>
      </c>
      <c r="O115" s="569">
        <f t="shared" si="6"/>
        <v>0</v>
      </c>
      <c r="P115" s="524"/>
    </row>
    <row r="116" spans="1:16">
      <c r="A116" s="520"/>
      <c r="B116" s="521" t="str">
        <f t="shared" si="10"/>
        <v/>
      </c>
      <c r="C116" s="564" t="str">
        <f>IF(D100="","-",+C115+1)</f>
        <v>-</v>
      </c>
      <c r="D116" s="453">
        <f t="shared" si="7"/>
        <v>0</v>
      </c>
      <c r="E116" s="571">
        <f>IF(+I103&lt;F115,I103,D116)</f>
        <v>0</v>
      </c>
      <c r="F116" s="570">
        <f t="shared" si="2"/>
        <v>0</v>
      </c>
      <c r="G116" s="571">
        <f t="shared" si="8"/>
        <v>0</v>
      </c>
      <c r="H116" s="549">
        <f t="shared" si="9"/>
        <v>0</v>
      </c>
      <c r="I116" s="567">
        <f t="shared" si="3"/>
        <v>0</v>
      </c>
      <c r="J116" s="567"/>
      <c r="K116" s="982"/>
      <c r="L116" s="569">
        <f t="shared" si="4"/>
        <v>0</v>
      </c>
      <c r="M116" s="982"/>
      <c r="N116" s="569">
        <f t="shared" si="5"/>
        <v>0</v>
      </c>
      <c r="O116" s="569">
        <f t="shared" si="6"/>
        <v>0</v>
      </c>
      <c r="P116" s="524"/>
    </row>
    <row r="117" spans="1:16">
      <c r="A117" s="520"/>
      <c r="B117" s="521" t="str">
        <f t="shared" si="10"/>
        <v/>
      </c>
      <c r="C117" s="564" t="str">
        <f>IF(D100="","-",+C116+1)</f>
        <v>-</v>
      </c>
      <c r="D117" s="570">
        <f t="shared" si="7"/>
        <v>0</v>
      </c>
      <c r="E117" s="571">
        <f>IF(+I103&lt;F116,I103,D117)</f>
        <v>0</v>
      </c>
      <c r="F117" s="570">
        <f t="shared" si="2"/>
        <v>0</v>
      </c>
      <c r="G117" s="571">
        <f t="shared" si="8"/>
        <v>0</v>
      </c>
      <c r="H117" s="549">
        <f t="shared" si="9"/>
        <v>0</v>
      </c>
      <c r="I117" s="567">
        <f t="shared" si="3"/>
        <v>0</v>
      </c>
      <c r="J117" s="567"/>
      <c r="K117" s="982"/>
      <c r="L117" s="569">
        <f t="shared" si="4"/>
        <v>0</v>
      </c>
      <c r="M117" s="982"/>
      <c r="N117" s="569">
        <f t="shared" si="5"/>
        <v>0</v>
      </c>
      <c r="O117" s="569">
        <f t="shared" si="6"/>
        <v>0</v>
      </c>
      <c r="P117" s="524"/>
    </row>
    <row r="118" spans="1:16">
      <c r="A118" s="520"/>
      <c r="B118" s="521" t="str">
        <f t="shared" si="10"/>
        <v/>
      </c>
      <c r="C118" s="564" t="str">
        <f>IF(D100="","-",+C117+1)</f>
        <v>-</v>
      </c>
      <c r="D118" s="570">
        <f t="shared" si="7"/>
        <v>0</v>
      </c>
      <c r="E118" s="571">
        <f>IF(+I103&lt;F117,I103,D118)</f>
        <v>0</v>
      </c>
      <c r="F118" s="570">
        <f t="shared" si="2"/>
        <v>0</v>
      </c>
      <c r="G118" s="571">
        <f t="shared" si="8"/>
        <v>0</v>
      </c>
      <c r="H118" s="549">
        <f t="shared" si="9"/>
        <v>0</v>
      </c>
      <c r="I118" s="567">
        <f t="shared" si="3"/>
        <v>0</v>
      </c>
      <c r="J118" s="567"/>
      <c r="K118" s="982"/>
      <c r="L118" s="569">
        <f t="shared" si="4"/>
        <v>0</v>
      </c>
      <c r="M118" s="982"/>
      <c r="N118" s="569">
        <f t="shared" si="5"/>
        <v>0</v>
      </c>
      <c r="O118" s="569">
        <f t="shared" si="6"/>
        <v>0</v>
      </c>
      <c r="P118" s="524"/>
    </row>
    <row r="119" spans="1:16">
      <c r="A119" s="520"/>
      <c r="B119" s="521" t="str">
        <f t="shared" si="10"/>
        <v/>
      </c>
      <c r="C119" s="564" t="str">
        <f>IF(D100="","-",+C118+1)</f>
        <v>-</v>
      </c>
      <c r="D119" s="570">
        <f t="shared" si="7"/>
        <v>0</v>
      </c>
      <c r="E119" s="571">
        <f>IF(+I103&lt;F118,I103,D119)</f>
        <v>0</v>
      </c>
      <c r="F119" s="570">
        <f t="shared" si="2"/>
        <v>0</v>
      </c>
      <c r="G119" s="571">
        <f t="shared" si="8"/>
        <v>0</v>
      </c>
      <c r="H119" s="549">
        <f t="shared" si="9"/>
        <v>0</v>
      </c>
      <c r="I119" s="567">
        <f t="shared" si="3"/>
        <v>0</v>
      </c>
      <c r="J119" s="567"/>
      <c r="K119" s="982"/>
      <c r="L119" s="569">
        <f t="shared" si="4"/>
        <v>0</v>
      </c>
      <c r="M119" s="982"/>
      <c r="N119" s="569">
        <f t="shared" si="5"/>
        <v>0</v>
      </c>
      <c r="O119" s="569">
        <f t="shared" si="6"/>
        <v>0</v>
      </c>
      <c r="P119" s="524"/>
    </row>
    <row r="120" spans="1:16">
      <c r="A120" s="520"/>
      <c r="B120" s="521" t="str">
        <f t="shared" si="10"/>
        <v/>
      </c>
      <c r="C120" s="564" t="str">
        <f>IF(D100="","-",+C119+1)</f>
        <v>-</v>
      </c>
      <c r="D120" s="570">
        <f t="shared" si="7"/>
        <v>0</v>
      </c>
      <c r="E120" s="571">
        <f>IF(+I103&lt;F119,I103,D120)</f>
        <v>0</v>
      </c>
      <c r="F120" s="570">
        <f t="shared" si="2"/>
        <v>0</v>
      </c>
      <c r="G120" s="571">
        <f t="shared" si="8"/>
        <v>0</v>
      </c>
      <c r="H120" s="549">
        <f t="shared" si="9"/>
        <v>0</v>
      </c>
      <c r="I120" s="567">
        <f t="shared" si="3"/>
        <v>0</v>
      </c>
      <c r="J120" s="567"/>
      <c r="K120" s="982"/>
      <c r="L120" s="569">
        <f t="shared" si="4"/>
        <v>0</v>
      </c>
      <c r="M120" s="982"/>
      <c r="N120" s="569">
        <f t="shared" si="5"/>
        <v>0</v>
      </c>
      <c r="O120" s="569">
        <f t="shared" si="6"/>
        <v>0</v>
      </c>
      <c r="P120" s="524"/>
    </row>
    <row r="121" spans="1:16">
      <c r="A121" s="520"/>
      <c r="B121" s="521" t="str">
        <f t="shared" si="10"/>
        <v/>
      </c>
      <c r="C121" s="564" t="str">
        <f>IF(D100="","-",+C120+1)</f>
        <v>-</v>
      </c>
      <c r="D121" s="570">
        <f t="shared" si="7"/>
        <v>0</v>
      </c>
      <c r="E121" s="571">
        <f>IF(+I103&lt;F120,I103,D121)</f>
        <v>0</v>
      </c>
      <c r="F121" s="570">
        <f t="shared" si="2"/>
        <v>0</v>
      </c>
      <c r="G121" s="571">
        <f t="shared" si="8"/>
        <v>0</v>
      </c>
      <c r="H121" s="549">
        <f t="shared" si="9"/>
        <v>0</v>
      </c>
      <c r="I121" s="567">
        <f t="shared" si="3"/>
        <v>0</v>
      </c>
      <c r="J121" s="567"/>
      <c r="K121" s="982"/>
      <c r="L121" s="569">
        <f t="shared" si="4"/>
        <v>0</v>
      </c>
      <c r="M121" s="982"/>
      <c r="N121" s="569">
        <f t="shared" si="5"/>
        <v>0</v>
      </c>
      <c r="O121" s="569">
        <f t="shared" si="6"/>
        <v>0</v>
      </c>
      <c r="P121" s="524"/>
    </row>
    <row r="122" spans="1:16">
      <c r="A122" s="520"/>
      <c r="B122" s="521" t="str">
        <f t="shared" si="10"/>
        <v/>
      </c>
      <c r="C122" s="564" t="str">
        <f>IF(D100="","-",+C121+1)</f>
        <v>-</v>
      </c>
      <c r="D122" s="570">
        <f t="shared" si="7"/>
        <v>0</v>
      </c>
      <c r="E122" s="571">
        <f>IF(+I103&lt;F121,I103,D122)</f>
        <v>0</v>
      </c>
      <c r="F122" s="570">
        <f t="shared" si="2"/>
        <v>0</v>
      </c>
      <c r="G122" s="571">
        <f t="shared" si="8"/>
        <v>0</v>
      </c>
      <c r="H122" s="549">
        <f t="shared" si="9"/>
        <v>0</v>
      </c>
      <c r="I122" s="567">
        <f t="shared" si="3"/>
        <v>0</v>
      </c>
      <c r="J122" s="567"/>
      <c r="K122" s="982"/>
      <c r="L122" s="569">
        <f t="shared" si="4"/>
        <v>0</v>
      </c>
      <c r="M122" s="982"/>
      <c r="N122" s="569">
        <f t="shared" si="5"/>
        <v>0</v>
      </c>
      <c r="O122" s="569">
        <f t="shared" si="6"/>
        <v>0</v>
      </c>
      <c r="P122" s="524"/>
    </row>
    <row r="123" spans="1:16">
      <c r="A123" s="520"/>
      <c r="B123" s="521" t="str">
        <f t="shared" si="10"/>
        <v/>
      </c>
      <c r="C123" s="564" t="str">
        <f>IF(D100="","-",+C122+1)</f>
        <v>-</v>
      </c>
      <c r="D123" s="570">
        <f t="shared" si="7"/>
        <v>0</v>
      </c>
      <c r="E123" s="571">
        <f>IF(+I103&lt;F122,I103,D123)</f>
        <v>0</v>
      </c>
      <c r="F123" s="570">
        <f t="shared" si="2"/>
        <v>0</v>
      </c>
      <c r="G123" s="571">
        <f t="shared" si="8"/>
        <v>0</v>
      </c>
      <c r="H123" s="549">
        <f t="shared" si="9"/>
        <v>0</v>
      </c>
      <c r="I123" s="567">
        <f t="shared" si="3"/>
        <v>0</v>
      </c>
      <c r="J123" s="567"/>
      <c r="K123" s="982"/>
      <c r="L123" s="569">
        <f t="shared" si="4"/>
        <v>0</v>
      </c>
      <c r="M123" s="982"/>
      <c r="N123" s="569">
        <f t="shared" si="5"/>
        <v>0</v>
      </c>
      <c r="O123" s="569">
        <f t="shared" si="6"/>
        <v>0</v>
      </c>
      <c r="P123" s="524"/>
    </row>
    <row r="124" spans="1:16">
      <c r="A124" s="520"/>
      <c r="B124" s="521" t="str">
        <f t="shared" si="10"/>
        <v/>
      </c>
      <c r="C124" s="564" t="str">
        <f>IF(D100="","-",+C123+1)</f>
        <v>-</v>
      </c>
      <c r="D124" s="570">
        <f t="shared" si="7"/>
        <v>0</v>
      </c>
      <c r="E124" s="571">
        <f>IF(+I103&lt;F123,I103,D124)</f>
        <v>0</v>
      </c>
      <c r="F124" s="570">
        <f t="shared" si="2"/>
        <v>0</v>
      </c>
      <c r="G124" s="571">
        <f t="shared" si="8"/>
        <v>0</v>
      </c>
      <c r="H124" s="549">
        <f t="shared" si="9"/>
        <v>0</v>
      </c>
      <c r="I124" s="567">
        <f t="shared" si="3"/>
        <v>0</v>
      </c>
      <c r="J124" s="567"/>
      <c r="K124" s="982"/>
      <c r="L124" s="569">
        <f t="shared" si="4"/>
        <v>0</v>
      </c>
      <c r="M124" s="982"/>
      <c r="N124" s="569">
        <f t="shared" si="5"/>
        <v>0</v>
      </c>
      <c r="O124" s="569">
        <f t="shared" si="6"/>
        <v>0</v>
      </c>
      <c r="P124" s="524"/>
    </row>
    <row r="125" spans="1:16">
      <c r="A125" s="520"/>
      <c r="B125" s="521" t="str">
        <f t="shared" si="10"/>
        <v/>
      </c>
      <c r="C125" s="564" t="str">
        <f>IF(D100="","-",+C124+1)</f>
        <v>-</v>
      </c>
      <c r="D125" s="570">
        <f t="shared" si="7"/>
        <v>0</v>
      </c>
      <c r="E125" s="571">
        <f>IF(+I103&lt;F124,I103,D125)</f>
        <v>0</v>
      </c>
      <c r="F125" s="570">
        <f t="shared" si="2"/>
        <v>0</v>
      </c>
      <c r="G125" s="571">
        <f t="shared" si="8"/>
        <v>0</v>
      </c>
      <c r="H125" s="549">
        <f t="shared" si="9"/>
        <v>0</v>
      </c>
      <c r="I125" s="567">
        <f t="shared" si="3"/>
        <v>0</v>
      </c>
      <c r="J125" s="567"/>
      <c r="K125" s="982"/>
      <c r="L125" s="569">
        <f t="shared" si="4"/>
        <v>0</v>
      </c>
      <c r="M125" s="982"/>
      <c r="N125" s="569">
        <f t="shared" si="5"/>
        <v>0</v>
      </c>
      <c r="O125" s="569">
        <f t="shared" si="6"/>
        <v>0</v>
      </c>
      <c r="P125" s="524"/>
    </row>
    <row r="126" spans="1:16">
      <c r="A126" s="520"/>
      <c r="B126" s="521" t="str">
        <f t="shared" si="10"/>
        <v/>
      </c>
      <c r="C126" s="564" t="str">
        <f>IF(D100="","-",+C125+1)</f>
        <v>-</v>
      </c>
      <c r="D126" s="570">
        <f t="shared" si="7"/>
        <v>0</v>
      </c>
      <c r="E126" s="571">
        <f>IF(+I103&lt;F125,I103,D126)</f>
        <v>0</v>
      </c>
      <c r="F126" s="570">
        <f t="shared" si="2"/>
        <v>0</v>
      </c>
      <c r="G126" s="571">
        <f t="shared" si="8"/>
        <v>0</v>
      </c>
      <c r="H126" s="549">
        <f t="shared" si="9"/>
        <v>0</v>
      </c>
      <c r="I126" s="567">
        <f t="shared" si="3"/>
        <v>0</v>
      </c>
      <c r="J126" s="567"/>
      <c r="K126" s="982"/>
      <c r="L126" s="569">
        <f t="shared" si="4"/>
        <v>0</v>
      </c>
      <c r="M126" s="982"/>
      <c r="N126" s="569">
        <f t="shared" si="5"/>
        <v>0</v>
      </c>
      <c r="O126" s="569">
        <f t="shared" si="6"/>
        <v>0</v>
      </c>
      <c r="P126" s="524"/>
    </row>
    <row r="127" spans="1:16">
      <c r="A127" s="520"/>
      <c r="B127" s="521" t="str">
        <f t="shared" si="10"/>
        <v/>
      </c>
      <c r="C127" s="564" t="str">
        <f>IF(D100="","-",+C126+1)</f>
        <v>-</v>
      </c>
      <c r="D127" s="570">
        <f t="shared" si="7"/>
        <v>0</v>
      </c>
      <c r="E127" s="571">
        <f>IF(+I103&lt;F126,I103,D127)</f>
        <v>0</v>
      </c>
      <c r="F127" s="570">
        <f t="shared" si="2"/>
        <v>0</v>
      </c>
      <c r="G127" s="571">
        <f t="shared" si="8"/>
        <v>0</v>
      </c>
      <c r="H127" s="549">
        <f t="shared" si="9"/>
        <v>0</v>
      </c>
      <c r="I127" s="567">
        <f t="shared" si="3"/>
        <v>0</v>
      </c>
      <c r="J127" s="567"/>
      <c r="K127" s="982"/>
      <c r="L127" s="569">
        <f t="shared" si="4"/>
        <v>0</v>
      </c>
      <c r="M127" s="982"/>
      <c r="N127" s="569">
        <f t="shared" si="5"/>
        <v>0</v>
      </c>
      <c r="O127" s="569">
        <f t="shared" si="6"/>
        <v>0</v>
      </c>
      <c r="P127" s="524"/>
    </row>
    <row r="128" spans="1:16">
      <c r="A128" s="520"/>
      <c r="B128" s="521" t="str">
        <f t="shared" si="10"/>
        <v/>
      </c>
      <c r="C128" s="564" t="str">
        <f>IF(D100="","-",+C127+1)</f>
        <v>-</v>
      </c>
      <c r="D128" s="570">
        <f t="shared" si="7"/>
        <v>0</v>
      </c>
      <c r="E128" s="571">
        <f>IF(+I103&lt;F127,I103,D128)</f>
        <v>0</v>
      </c>
      <c r="F128" s="570">
        <f t="shared" si="2"/>
        <v>0</v>
      </c>
      <c r="G128" s="571">
        <f t="shared" si="8"/>
        <v>0</v>
      </c>
      <c r="H128" s="549">
        <f t="shared" si="9"/>
        <v>0</v>
      </c>
      <c r="I128" s="567">
        <f t="shared" si="3"/>
        <v>0</v>
      </c>
      <c r="J128" s="567"/>
      <c r="K128" s="982"/>
      <c r="L128" s="569">
        <f t="shared" si="4"/>
        <v>0</v>
      </c>
      <c r="M128" s="982"/>
      <c r="N128" s="569">
        <f t="shared" si="5"/>
        <v>0</v>
      </c>
      <c r="O128" s="569">
        <f t="shared" si="6"/>
        <v>0</v>
      </c>
      <c r="P128" s="524"/>
    </row>
    <row r="129" spans="1:16">
      <c r="A129" s="520"/>
      <c r="B129" s="521" t="str">
        <f t="shared" si="10"/>
        <v/>
      </c>
      <c r="C129" s="564" t="str">
        <f>IF(D100="","-",+C128+1)</f>
        <v>-</v>
      </c>
      <c r="D129" s="570">
        <f t="shared" si="7"/>
        <v>0</v>
      </c>
      <c r="E129" s="571">
        <f>IF(+I103&lt;F128,I103,D129)</f>
        <v>0</v>
      </c>
      <c r="F129" s="570">
        <f t="shared" si="2"/>
        <v>0</v>
      </c>
      <c r="G129" s="571">
        <f t="shared" si="8"/>
        <v>0</v>
      </c>
      <c r="H129" s="549">
        <f t="shared" si="9"/>
        <v>0</v>
      </c>
      <c r="I129" s="567">
        <f t="shared" si="3"/>
        <v>0</v>
      </c>
      <c r="J129" s="567"/>
      <c r="K129" s="982"/>
      <c r="L129" s="569">
        <f t="shared" si="4"/>
        <v>0</v>
      </c>
      <c r="M129" s="982"/>
      <c r="N129" s="569">
        <f t="shared" si="5"/>
        <v>0</v>
      </c>
      <c r="O129" s="569">
        <f t="shared" si="6"/>
        <v>0</v>
      </c>
      <c r="P129" s="524"/>
    </row>
    <row r="130" spans="1:16">
      <c r="A130" s="520"/>
      <c r="B130" s="521" t="str">
        <f t="shared" si="10"/>
        <v/>
      </c>
      <c r="C130" s="564" t="str">
        <f>IF(D100="","-",+C129+1)</f>
        <v>-</v>
      </c>
      <c r="D130" s="570">
        <f t="shared" si="7"/>
        <v>0</v>
      </c>
      <c r="E130" s="571">
        <f>IF(+I103&lt;F129,I103,D130)</f>
        <v>0</v>
      </c>
      <c r="F130" s="570">
        <f t="shared" si="2"/>
        <v>0</v>
      </c>
      <c r="G130" s="571">
        <f t="shared" si="8"/>
        <v>0</v>
      </c>
      <c r="H130" s="549">
        <f t="shared" si="9"/>
        <v>0</v>
      </c>
      <c r="I130" s="567">
        <f t="shared" si="3"/>
        <v>0</v>
      </c>
      <c r="J130" s="567"/>
      <c r="K130" s="982"/>
      <c r="L130" s="569">
        <f t="shared" si="4"/>
        <v>0</v>
      </c>
      <c r="M130" s="982"/>
      <c r="N130" s="569">
        <f t="shared" si="5"/>
        <v>0</v>
      </c>
      <c r="O130" s="569">
        <f t="shared" si="6"/>
        <v>0</v>
      </c>
      <c r="P130" s="524"/>
    </row>
    <row r="131" spans="1:16">
      <c r="A131" s="520"/>
      <c r="B131" s="521" t="str">
        <f t="shared" si="10"/>
        <v/>
      </c>
      <c r="C131" s="564" t="str">
        <f>IF(D100="","-",+C130+1)</f>
        <v>-</v>
      </c>
      <c r="D131" s="570">
        <f t="shared" si="7"/>
        <v>0</v>
      </c>
      <c r="E131" s="571">
        <f>IF(+I103&lt;F130,I103,D131)</f>
        <v>0</v>
      </c>
      <c r="F131" s="570">
        <f t="shared" si="2"/>
        <v>0</v>
      </c>
      <c r="G131" s="571">
        <f t="shared" si="8"/>
        <v>0</v>
      </c>
      <c r="H131" s="549">
        <f t="shared" si="9"/>
        <v>0</v>
      </c>
      <c r="I131" s="567">
        <f t="shared" si="3"/>
        <v>0</v>
      </c>
      <c r="J131" s="567"/>
      <c r="K131" s="982"/>
      <c r="L131" s="569">
        <f t="shared" si="4"/>
        <v>0</v>
      </c>
      <c r="M131" s="982"/>
      <c r="N131" s="569">
        <f t="shared" si="5"/>
        <v>0</v>
      </c>
      <c r="O131" s="569">
        <f t="shared" si="6"/>
        <v>0</v>
      </c>
      <c r="P131" s="524"/>
    </row>
    <row r="132" spans="1:16">
      <c r="A132" s="520"/>
      <c r="B132" s="521" t="str">
        <f t="shared" si="10"/>
        <v/>
      </c>
      <c r="C132" s="564" t="str">
        <f>IF(D100="","-",+C131+1)</f>
        <v>-</v>
      </c>
      <c r="D132" s="570">
        <f t="shared" si="7"/>
        <v>0</v>
      </c>
      <c r="E132" s="571">
        <f>IF(+I103&lt;F131,I103,D132)</f>
        <v>0</v>
      </c>
      <c r="F132" s="570">
        <f t="shared" si="2"/>
        <v>0</v>
      </c>
      <c r="G132" s="571">
        <f t="shared" si="8"/>
        <v>0</v>
      </c>
      <c r="H132" s="549">
        <f t="shared" si="9"/>
        <v>0</v>
      </c>
      <c r="I132" s="567">
        <f t="shared" si="3"/>
        <v>0</v>
      </c>
      <c r="J132" s="567"/>
      <c r="K132" s="982"/>
      <c r="L132" s="569">
        <f t="shared" si="4"/>
        <v>0</v>
      </c>
      <c r="M132" s="982"/>
      <c r="N132" s="569">
        <f t="shared" si="5"/>
        <v>0</v>
      </c>
      <c r="O132" s="569">
        <f t="shared" si="6"/>
        <v>0</v>
      </c>
      <c r="P132" s="524"/>
    </row>
    <row r="133" spans="1:16">
      <c r="A133" s="520"/>
      <c r="B133" s="521" t="str">
        <f t="shared" si="10"/>
        <v/>
      </c>
      <c r="C133" s="564" t="str">
        <f>IF(D100="","-",+C132+1)</f>
        <v>-</v>
      </c>
      <c r="D133" s="570">
        <f t="shared" si="7"/>
        <v>0</v>
      </c>
      <c r="E133" s="571">
        <f>IF(+I103&lt;F132,I103,D133)</f>
        <v>0</v>
      </c>
      <c r="F133" s="570">
        <f t="shared" si="2"/>
        <v>0</v>
      </c>
      <c r="G133" s="571">
        <f t="shared" si="8"/>
        <v>0</v>
      </c>
      <c r="H133" s="549">
        <f t="shared" si="9"/>
        <v>0</v>
      </c>
      <c r="I133" s="567">
        <f t="shared" si="3"/>
        <v>0</v>
      </c>
      <c r="J133" s="567"/>
      <c r="K133" s="982"/>
      <c r="L133" s="569">
        <f t="shared" si="4"/>
        <v>0</v>
      </c>
      <c r="M133" s="982"/>
      <c r="N133" s="569">
        <f t="shared" si="5"/>
        <v>0</v>
      </c>
      <c r="O133" s="569">
        <f t="shared" si="6"/>
        <v>0</v>
      </c>
      <c r="P133" s="524"/>
    </row>
    <row r="134" spans="1:16">
      <c r="A134" s="520"/>
      <c r="B134" s="521" t="str">
        <f t="shared" si="10"/>
        <v/>
      </c>
      <c r="C134" s="564" t="str">
        <f>IF(D100="","-",+C133+1)</f>
        <v>-</v>
      </c>
      <c r="D134" s="570">
        <f t="shared" si="7"/>
        <v>0</v>
      </c>
      <c r="E134" s="571">
        <f>IF(+I103&lt;F133,I103,D134)</f>
        <v>0</v>
      </c>
      <c r="F134" s="570">
        <f t="shared" si="2"/>
        <v>0</v>
      </c>
      <c r="G134" s="571">
        <f t="shared" si="8"/>
        <v>0</v>
      </c>
      <c r="H134" s="549">
        <f t="shared" si="9"/>
        <v>0</v>
      </c>
      <c r="I134" s="567">
        <f t="shared" si="3"/>
        <v>0</v>
      </c>
      <c r="J134" s="567"/>
      <c r="K134" s="982"/>
      <c r="L134" s="569">
        <f t="shared" si="4"/>
        <v>0</v>
      </c>
      <c r="M134" s="982"/>
      <c r="N134" s="569">
        <f t="shared" si="5"/>
        <v>0</v>
      </c>
      <c r="O134" s="569">
        <f t="shared" si="6"/>
        <v>0</v>
      </c>
      <c r="P134" s="524"/>
    </row>
    <row r="135" spans="1:16">
      <c r="A135" s="520"/>
      <c r="B135" s="521" t="str">
        <f t="shared" si="10"/>
        <v/>
      </c>
      <c r="C135" s="564" t="str">
        <f>IF(D100="","-",+C134+1)</f>
        <v>-</v>
      </c>
      <c r="D135" s="570">
        <f t="shared" si="7"/>
        <v>0</v>
      </c>
      <c r="E135" s="571">
        <f>IF(+I103&lt;F134,I103,D135)</f>
        <v>0</v>
      </c>
      <c r="F135" s="570">
        <f t="shared" si="2"/>
        <v>0</v>
      </c>
      <c r="G135" s="571">
        <f t="shared" si="8"/>
        <v>0</v>
      </c>
      <c r="H135" s="549">
        <f t="shared" si="9"/>
        <v>0</v>
      </c>
      <c r="I135" s="567">
        <f t="shared" si="3"/>
        <v>0</v>
      </c>
      <c r="J135" s="567"/>
      <c r="K135" s="982"/>
      <c r="L135" s="569">
        <f t="shared" si="4"/>
        <v>0</v>
      </c>
      <c r="M135" s="982"/>
      <c r="N135" s="569">
        <f t="shared" si="5"/>
        <v>0</v>
      </c>
      <c r="O135" s="569">
        <f t="shared" si="6"/>
        <v>0</v>
      </c>
      <c r="P135" s="524"/>
    </row>
    <row r="136" spans="1:16">
      <c r="A136" s="520"/>
      <c r="B136" s="521" t="str">
        <f t="shared" si="10"/>
        <v/>
      </c>
      <c r="C136" s="564" t="str">
        <f>IF(D100="","-",+C135+1)</f>
        <v>-</v>
      </c>
      <c r="D136" s="570">
        <f t="shared" si="7"/>
        <v>0</v>
      </c>
      <c r="E136" s="571">
        <f>IF(+I103&lt;F135,I103,D136)</f>
        <v>0</v>
      </c>
      <c r="F136" s="570">
        <f t="shared" si="2"/>
        <v>0</v>
      </c>
      <c r="G136" s="571">
        <f t="shared" si="8"/>
        <v>0</v>
      </c>
      <c r="H136" s="549">
        <f t="shared" si="9"/>
        <v>0</v>
      </c>
      <c r="I136" s="567">
        <f t="shared" si="3"/>
        <v>0</v>
      </c>
      <c r="J136" s="567"/>
      <c r="K136" s="982"/>
      <c r="L136" s="569">
        <f t="shared" si="4"/>
        <v>0</v>
      </c>
      <c r="M136" s="982"/>
      <c r="N136" s="569">
        <f t="shared" si="5"/>
        <v>0</v>
      </c>
      <c r="O136" s="569">
        <f t="shared" si="6"/>
        <v>0</v>
      </c>
      <c r="P136" s="524"/>
    </row>
    <row r="137" spans="1:16">
      <c r="A137" s="520"/>
      <c r="B137" s="521" t="str">
        <f t="shared" si="10"/>
        <v/>
      </c>
      <c r="C137" s="564" t="str">
        <f>IF(D100="","-",+C136+1)</f>
        <v>-</v>
      </c>
      <c r="D137" s="570">
        <f t="shared" si="7"/>
        <v>0</v>
      </c>
      <c r="E137" s="571">
        <f>IF(+I103&lt;F136,I103,D137)</f>
        <v>0</v>
      </c>
      <c r="F137" s="570">
        <f t="shared" si="2"/>
        <v>0</v>
      </c>
      <c r="G137" s="571">
        <f t="shared" si="8"/>
        <v>0</v>
      </c>
      <c r="H137" s="549">
        <f t="shared" si="9"/>
        <v>0</v>
      </c>
      <c r="I137" s="567">
        <f t="shared" si="3"/>
        <v>0</v>
      </c>
      <c r="J137" s="567"/>
      <c r="K137" s="982"/>
      <c r="L137" s="569">
        <f t="shared" si="4"/>
        <v>0</v>
      </c>
      <c r="M137" s="982"/>
      <c r="N137" s="569">
        <f t="shared" si="5"/>
        <v>0</v>
      </c>
      <c r="O137" s="569">
        <f t="shared" si="6"/>
        <v>0</v>
      </c>
      <c r="P137" s="524"/>
    </row>
    <row r="138" spans="1:16">
      <c r="A138" s="520"/>
      <c r="B138" s="521" t="str">
        <f t="shared" si="10"/>
        <v/>
      </c>
      <c r="C138" s="564" t="str">
        <f>IF(D100="","-",+C137+1)</f>
        <v>-</v>
      </c>
      <c r="D138" s="570">
        <f t="shared" si="7"/>
        <v>0</v>
      </c>
      <c r="E138" s="571">
        <f>IF(+I103&lt;F137,I103,D138)</f>
        <v>0</v>
      </c>
      <c r="F138" s="570">
        <f t="shared" si="2"/>
        <v>0</v>
      </c>
      <c r="G138" s="571">
        <f t="shared" si="8"/>
        <v>0</v>
      </c>
      <c r="H138" s="549">
        <f t="shared" si="9"/>
        <v>0</v>
      </c>
      <c r="I138" s="567">
        <f t="shared" si="3"/>
        <v>0</v>
      </c>
      <c r="J138" s="567"/>
      <c r="K138" s="982"/>
      <c r="L138" s="569">
        <f t="shared" si="4"/>
        <v>0</v>
      </c>
      <c r="M138" s="982"/>
      <c r="N138" s="569">
        <f t="shared" si="5"/>
        <v>0</v>
      </c>
      <c r="O138" s="569">
        <f t="shared" si="6"/>
        <v>0</v>
      </c>
      <c r="P138" s="524"/>
    </row>
    <row r="139" spans="1:16">
      <c r="A139" s="520"/>
      <c r="B139" s="521" t="str">
        <f t="shared" si="10"/>
        <v/>
      </c>
      <c r="C139" s="564" t="str">
        <f>IF(D100="","-",+C138+1)</f>
        <v>-</v>
      </c>
      <c r="D139" s="570">
        <f t="shared" si="7"/>
        <v>0</v>
      </c>
      <c r="E139" s="571">
        <f>IF(+I103&lt;F138,I103,D139)</f>
        <v>0</v>
      </c>
      <c r="F139" s="570">
        <f t="shared" si="2"/>
        <v>0</v>
      </c>
      <c r="G139" s="571">
        <f t="shared" si="8"/>
        <v>0</v>
      </c>
      <c r="H139" s="549">
        <f t="shared" si="9"/>
        <v>0</v>
      </c>
      <c r="I139" s="567">
        <f t="shared" si="3"/>
        <v>0</v>
      </c>
      <c r="J139" s="567"/>
      <c r="K139" s="982"/>
      <c r="L139" s="569">
        <f t="shared" si="4"/>
        <v>0</v>
      </c>
      <c r="M139" s="982"/>
      <c r="N139" s="569">
        <f t="shared" si="5"/>
        <v>0</v>
      </c>
      <c r="O139" s="569">
        <f t="shared" si="6"/>
        <v>0</v>
      </c>
      <c r="P139" s="524"/>
    </row>
    <row r="140" spans="1:16">
      <c r="A140" s="520"/>
      <c r="B140" s="521" t="str">
        <f t="shared" si="10"/>
        <v/>
      </c>
      <c r="C140" s="564" t="str">
        <f>IF(D100="","-",+C139+1)</f>
        <v>-</v>
      </c>
      <c r="D140" s="570">
        <f t="shared" si="7"/>
        <v>0</v>
      </c>
      <c r="E140" s="571">
        <f>IF(+I103&lt;F139,I103,D140)</f>
        <v>0</v>
      </c>
      <c r="F140" s="570">
        <f t="shared" si="2"/>
        <v>0</v>
      </c>
      <c r="G140" s="571">
        <f t="shared" si="8"/>
        <v>0</v>
      </c>
      <c r="H140" s="549">
        <f t="shared" si="9"/>
        <v>0</v>
      </c>
      <c r="I140" s="567">
        <f t="shared" si="3"/>
        <v>0</v>
      </c>
      <c r="J140" s="567"/>
      <c r="K140" s="982"/>
      <c r="L140" s="569">
        <f t="shared" si="4"/>
        <v>0</v>
      </c>
      <c r="M140" s="982"/>
      <c r="N140" s="569">
        <f t="shared" si="5"/>
        <v>0</v>
      </c>
      <c r="O140" s="569">
        <f t="shared" si="6"/>
        <v>0</v>
      </c>
      <c r="P140" s="524"/>
    </row>
    <row r="141" spans="1:16">
      <c r="A141" s="520"/>
      <c r="B141" s="521" t="str">
        <f t="shared" si="10"/>
        <v/>
      </c>
      <c r="C141" s="564" t="str">
        <f>IF(D100="","-",+C140+1)</f>
        <v>-</v>
      </c>
      <c r="D141" s="570">
        <f t="shared" si="7"/>
        <v>0</v>
      </c>
      <c r="E141" s="571">
        <f>IF(+I103&lt;F140,I103,D141)</f>
        <v>0</v>
      </c>
      <c r="F141" s="570">
        <f t="shared" si="2"/>
        <v>0</v>
      </c>
      <c r="G141" s="571">
        <f t="shared" si="8"/>
        <v>0</v>
      </c>
      <c r="H141" s="549">
        <f t="shared" si="9"/>
        <v>0</v>
      </c>
      <c r="I141" s="567">
        <f t="shared" si="3"/>
        <v>0</v>
      </c>
      <c r="J141" s="567"/>
      <c r="K141" s="982"/>
      <c r="L141" s="569">
        <f t="shared" si="4"/>
        <v>0</v>
      </c>
      <c r="M141" s="982"/>
      <c r="N141" s="569">
        <f t="shared" si="5"/>
        <v>0</v>
      </c>
      <c r="O141" s="569">
        <f t="shared" si="6"/>
        <v>0</v>
      </c>
      <c r="P141" s="524"/>
    </row>
    <row r="142" spans="1:16">
      <c r="A142" s="520"/>
      <c r="B142" s="521" t="str">
        <f t="shared" si="10"/>
        <v/>
      </c>
      <c r="C142" s="564" t="str">
        <f>IF(D100="","-",+C141+1)</f>
        <v>-</v>
      </c>
      <c r="D142" s="570">
        <f t="shared" si="7"/>
        <v>0</v>
      </c>
      <c r="E142" s="571">
        <f>IF(+I103&lt;F141,I103,D142)</f>
        <v>0</v>
      </c>
      <c r="F142" s="570">
        <f t="shared" si="2"/>
        <v>0</v>
      </c>
      <c r="G142" s="571">
        <f t="shared" si="8"/>
        <v>0</v>
      </c>
      <c r="H142" s="549">
        <f t="shared" si="9"/>
        <v>0</v>
      </c>
      <c r="I142" s="567">
        <f t="shared" si="3"/>
        <v>0</v>
      </c>
      <c r="J142" s="567"/>
      <c r="K142" s="982"/>
      <c r="L142" s="569">
        <f t="shared" si="4"/>
        <v>0</v>
      </c>
      <c r="M142" s="982"/>
      <c r="N142" s="569">
        <f t="shared" si="5"/>
        <v>0</v>
      </c>
      <c r="O142" s="569">
        <f t="shared" si="6"/>
        <v>0</v>
      </c>
      <c r="P142" s="524"/>
    </row>
    <row r="143" spans="1:16">
      <c r="A143" s="520"/>
      <c r="B143" s="521" t="str">
        <f t="shared" si="10"/>
        <v/>
      </c>
      <c r="C143" s="564" t="str">
        <f>IF(D100="","-",+C142+1)</f>
        <v>-</v>
      </c>
      <c r="D143" s="570">
        <f t="shared" si="7"/>
        <v>0</v>
      </c>
      <c r="E143" s="571">
        <f>IF(+I103&lt;F142,I103,D143)</f>
        <v>0</v>
      </c>
      <c r="F143" s="570">
        <f t="shared" si="2"/>
        <v>0</v>
      </c>
      <c r="G143" s="571">
        <f t="shared" si="8"/>
        <v>0</v>
      </c>
      <c r="H143" s="549">
        <f t="shared" si="9"/>
        <v>0</v>
      </c>
      <c r="I143" s="567">
        <f t="shared" si="3"/>
        <v>0</v>
      </c>
      <c r="J143" s="567"/>
      <c r="K143" s="982"/>
      <c r="L143" s="569">
        <f t="shared" si="4"/>
        <v>0</v>
      </c>
      <c r="M143" s="982"/>
      <c r="N143" s="569">
        <f t="shared" si="5"/>
        <v>0</v>
      </c>
      <c r="O143" s="569">
        <f t="shared" si="6"/>
        <v>0</v>
      </c>
      <c r="P143" s="524"/>
    </row>
    <row r="144" spans="1:16">
      <c r="A144" s="520"/>
      <c r="B144" s="521" t="str">
        <f t="shared" si="10"/>
        <v/>
      </c>
      <c r="C144" s="564" t="str">
        <f>IF(D100="","-",+C143+1)</f>
        <v>-</v>
      </c>
      <c r="D144" s="570">
        <f t="shared" si="7"/>
        <v>0</v>
      </c>
      <c r="E144" s="571">
        <f>IF(+I103&lt;F143,I103,D144)</f>
        <v>0</v>
      </c>
      <c r="F144" s="570">
        <f t="shared" si="2"/>
        <v>0</v>
      </c>
      <c r="G144" s="571">
        <f t="shared" si="8"/>
        <v>0</v>
      </c>
      <c r="H144" s="549">
        <f t="shared" si="9"/>
        <v>0</v>
      </c>
      <c r="I144" s="567">
        <f t="shared" si="3"/>
        <v>0</v>
      </c>
      <c r="J144" s="567"/>
      <c r="K144" s="982"/>
      <c r="L144" s="569">
        <f t="shared" si="4"/>
        <v>0</v>
      </c>
      <c r="M144" s="982"/>
      <c r="N144" s="569">
        <f t="shared" si="5"/>
        <v>0</v>
      </c>
      <c r="O144" s="569">
        <f t="shared" si="6"/>
        <v>0</v>
      </c>
      <c r="P144" s="524"/>
    </row>
    <row r="145" spans="1:16">
      <c r="A145" s="520"/>
      <c r="B145" s="521" t="str">
        <f t="shared" si="10"/>
        <v/>
      </c>
      <c r="C145" s="564" t="str">
        <f>IF(D100="","-",+C144+1)</f>
        <v>-</v>
      </c>
      <c r="D145" s="570">
        <f t="shared" si="7"/>
        <v>0</v>
      </c>
      <c r="E145" s="571">
        <f>IF(+I103&lt;F144,I103,D145)</f>
        <v>0</v>
      </c>
      <c r="F145" s="570">
        <f t="shared" si="2"/>
        <v>0</v>
      </c>
      <c r="G145" s="571">
        <f t="shared" si="8"/>
        <v>0</v>
      </c>
      <c r="H145" s="549">
        <f t="shared" si="9"/>
        <v>0</v>
      </c>
      <c r="I145" s="567">
        <f t="shared" si="3"/>
        <v>0</v>
      </c>
      <c r="J145" s="567"/>
      <c r="K145" s="982"/>
      <c r="L145" s="569">
        <f t="shared" si="4"/>
        <v>0</v>
      </c>
      <c r="M145" s="982"/>
      <c r="N145" s="569">
        <f t="shared" si="5"/>
        <v>0</v>
      </c>
      <c r="O145" s="569">
        <f t="shared" si="6"/>
        <v>0</v>
      </c>
      <c r="P145" s="524"/>
    </row>
    <row r="146" spans="1:16">
      <c r="A146" s="520"/>
      <c r="B146" s="521" t="str">
        <f t="shared" si="10"/>
        <v/>
      </c>
      <c r="C146" s="564" t="str">
        <f>IF(D100="","-",+C145+1)</f>
        <v>-</v>
      </c>
      <c r="D146" s="570">
        <f t="shared" si="7"/>
        <v>0</v>
      </c>
      <c r="E146" s="571">
        <f>IF(+I103&lt;F145,I103,D146)</f>
        <v>0</v>
      </c>
      <c r="F146" s="570">
        <f t="shared" si="2"/>
        <v>0</v>
      </c>
      <c r="G146" s="571">
        <f t="shared" si="8"/>
        <v>0</v>
      </c>
      <c r="H146" s="549">
        <f t="shared" si="9"/>
        <v>0</v>
      </c>
      <c r="I146" s="567">
        <f t="shared" si="3"/>
        <v>0</v>
      </c>
      <c r="J146" s="567"/>
      <c r="K146" s="982"/>
      <c r="L146" s="569">
        <f t="shared" si="4"/>
        <v>0</v>
      </c>
      <c r="M146" s="982"/>
      <c r="N146" s="569">
        <f t="shared" si="5"/>
        <v>0</v>
      </c>
      <c r="O146" s="569">
        <f t="shared" si="6"/>
        <v>0</v>
      </c>
      <c r="P146" s="524"/>
    </row>
    <row r="147" spans="1:16">
      <c r="A147" s="520"/>
      <c r="B147" s="521" t="str">
        <f t="shared" si="10"/>
        <v/>
      </c>
      <c r="C147" s="564" t="str">
        <f>IF(D100="","-",+C146+1)</f>
        <v>-</v>
      </c>
      <c r="D147" s="570">
        <f t="shared" si="7"/>
        <v>0</v>
      </c>
      <c r="E147" s="571">
        <f>IF(+I103&lt;F146,I103,D147)</f>
        <v>0</v>
      </c>
      <c r="F147" s="570">
        <f t="shared" si="2"/>
        <v>0</v>
      </c>
      <c r="G147" s="571">
        <f t="shared" si="8"/>
        <v>0</v>
      </c>
      <c r="H147" s="549">
        <f t="shared" si="9"/>
        <v>0</v>
      </c>
      <c r="I147" s="567">
        <f t="shared" si="3"/>
        <v>0</v>
      </c>
      <c r="J147" s="567"/>
      <c r="K147" s="982"/>
      <c r="L147" s="569">
        <f t="shared" si="4"/>
        <v>0</v>
      </c>
      <c r="M147" s="982"/>
      <c r="N147" s="569">
        <f t="shared" si="5"/>
        <v>0</v>
      </c>
      <c r="O147" s="569">
        <f t="shared" si="6"/>
        <v>0</v>
      </c>
      <c r="P147" s="524"/>
    </row>
    <row r="148" spans="1:16">
      <c r="A148" s="520"/>
      <c r="B148" s="521" t="str">
        <f t="shared" si="10"/>
        <v/>
      </c>
      <c r="C148" s="564" t="str">
        <f>IF(D100="","-",+C147+1)</f>
        <v>-</v>
      </c>
      <c r="D148" s="570">
        <f t="shared" si="7"/>
        <v>0</v>
      </c>
      <c r="E148" s="571">
        <f>IF(+I103&lt;F147,I103,D148)</f>
        <v>0</v>
      </c>
      <c r="F148" s="570">
        <f t="shared" si="2"/>
        <v>0</v>
      </c>
      <c r="G148" s="571">
        <f t="shared" si="8"/>
        <v>0</v>
      </c>
      <c r="H148" s="549">
        <f t="shared" si="9"/>
        <v>0</v>
      </c>
      <c r="I148" s="567">
        <f t="shared" si="3"/>
        <v>0</v>
      </c>
      <c r="J148" s="567"/>
      <c r="K148" s="982"/>
      <c r="L148" s="569">
        <f t="shared" si="4"/>
        <v>0</v>
      </c>
      <c r="M148" s="982"/>
      <c r="N148" s="569">
        <f t="shared" si="5"/>
        <v>0</v>
      </c>
      <c r="O148" s="569">
        <f t="shared" si="6"/>
        <v>0</v>
      </c>
      <c r="P148" s="524"/>
    </row>
    <row r="149" spans="1:16">
      <c r="A149" s="520"/>
      <c r="B149" s="521" t="str">
        <f t="shared" si="10"/>
        <v/>
      </c>
      <c r="C149" s="564" t="str">
        <f>IF(D100="","-",+C148+1)</f>
        <v>-</v>
      </c>
      <c r="D149" s="570">
        <f t="shared" si="7"/>
        <v>0</v>
      </c>
      <c r="E149" s="571">
        <f>IF(+I103&lt;F148,I103,D149)</f>
        <v>0</v>
      </c>
      <c r="F149" s="570">
        <f t="shared" si="2"/>
        <v>0</v>
      </c>
      <c r="G149" s="571">
        <f t="shared" si="8"/>
        <v>0</v>
      </c>
      <c r="H149" s="549">
        <f t="shared" si="9"/>
        <v>0</v>
      </c>
      <c r="I149" s="567">
        <f t="shared" si="3"/>
        <v>0</v>
      </c>
      <c r="J149" s="567"/>
      <c r="K149" s="982"/>
      <c r="L149" s="569">
        <f t="shared" si="4"/>
        <v>0</v>
      </c>
      <c r="M149" s="982"/>
      <c r="N149" s="569">
        <f t="shared" si="5"/>
        <v>0</v>
      </c>
      <c r="O149" s="569">
        <f t="shared" si="6"/>
        <v>0</v>
      </c>
      <c r="P149" s="524"/>
    </row>
    <row r="150" spans="1:16">
      <c r="A150" s="520"/>
      <c r="B150" s="521" t="str">
        <f t="shared" si="10"/>
        <v/>
      </c>
      <c r="C150" s="564" t="str">
        <f>IF(D100="","-",+C149+1)</f>
        <v>-</v>
      </c>
      <c r="D150" s="570">
        <f t="shared" si="7"/>
        <v>0</v>
      </c>
      <c r="E150" s="571">
        <f>IF(+I103&lt;F149,I103,D150)</f>
        <v>0</v>
      </c>
      <c r="F150" s="570">
        <f t="shared" si="2"/>
        <v>0</v>
      </c>
      <c r="G150" s="572">
        <f t="shared" si="8"/>
        <v>0</v>
      </c>
      <c r="H150" s="549">
        <f t="shared" si="9"/>
        <v>0</v>
      </c>
      <c r="I150" s="567">
        <f t="shared" si="3"/>
        <v>0</v>
      </c>
      <c r="J150" s="567"/>
      <c r="K150" s="982"/>
      <c r="L150" s="569">
        <f t="shared" si="4"/>
        <v>0</v>
      </c>
      <c r="M150" s="982"/>
      <c r="N150" s="569">
        <f t="shared" si="5"/>
        <v>0</v>
      </c>
      <c r="O150" s="569">
        <f t="shared" si="6"/>
        <v>0</v>
      </c>
      <c r="P150" s="524"/>
    </row>
    <row r="151" spans="1:16">
      <c r="A151" s="520"/>
      <c r="B151" s="521" t="str">
        <f t="shared" si="10"/>
        <v/>
      </c>
      <c r="C151" s="564" t="str">
        <f>IF(D100="","-",+C150+1)</f>
        <v>-</v>
      </c>
      <c r="D151" s="570">
        <f t="shared" si="7"/>
        <v>0</v>
      </c>
      <c r="E151" s="571">
        <f>IF(+I103&lt;F150,I103,D151)</f>
        <v>0</v>
      </c>
      <c r="F151" s="570">
        <f t="shared" si="2"/>
        <v>0</v>
      </c>
      <c r="G151" s="572">
        <f t="shared" si="8"/>
        <v>0</v>
      </c>
      <c r="H151" s="549">
        <f t="shared" si="9"/>
        <v>0</v>
      </c>
      <c r="I151" s="567">
        <f t="shared" si="3"/>
        <v>0</v>
      </c>
      <c r="J151" s="567"/>
      <c r="K151" s="982"/>
      <c r="L151" s="569">
        <f t="shared" si="4"/>
        <v>0</v>
      </c>
      <c r="M151" s="982"/>
      <c r="N151" s="569">
        <f t="shared" si="5"/>
        <v>0</v>
      </c>
      <c r="O151" s="569">
        <f t="shared" si="6"/>
        <v>0</v>
      </c>
      <c r="P151" s="524"/>
    </row>
    <row r="152" spans="1:16">
      <c r="A152" s="520"/>
      <c r="B152" s="521" t="str">
        <f t="shared" si="10"/>
        <v/>
      </c>
      <c r="C152" s="564" t="str">
        <f>IF(D100="","-",+C151+1)</f>
        <v>-</v>
      </c>
      <c r="D152" s="570">
        <f t="shared" si="7"/>
        <v>0</v>
      </c>
      <c r="E152" s="571">
        <f>IF(+I103&lt;F151,I103,D152)</f>
        <v>0</v>
      </c>
      <c r="F152" s="570">
        <f t="shared" si="2"/>
        <v>0</v>
      </c>
      <c r="G152" s="572">
        <f t="shared" si="8"/>
        <v>0</v>
      </c>
      <c r="H152" s="549">
        <f t="shared" si="9"/>
        <v>0</v>
      </c>
      <c r="I152" s="567">
        <f t="shared" si="3"/>
        <v>0</v>
      </c>
      <c r="J152" s="567"/>
      <c r="K152" s="982"/>
      <c r="L152" s="569">
        <f t="shared" si="4"/>
        <v>0</v>
      </c>
      <c r="M152" s="982"/>
      <c r="N152" s="569">
        <f t="shared" si="5"/>
        <v>0</v>
      </c>
      <c r="O152" s="569">
        <f t="shared" si="6"/>
        <v>0</v>
      </c>
      <c r="P152" s="524"/>
    </row>
    <row r="153" spans="1:16">
      <c r="A153" s="520"/>
      <c r="B153" s="521" t="str">
        <f t="shared" si="10"/>
        <v/>
      </c>
      <c r="C153" s="564" t="str">
        <f>IF(D100="","-",+C152+1)</f>
        <v>-</v>
      </c>
      <c r="D153" s="570">
        <f t="shared" si="7"/>
        <v>0</v>
      </c>
      <c r="E153" s="571">
        <f>IF(+I103&lt;F152,I103,D153)</f>
        <v>0</v>
      </c>
      <c r="F153" s="570">
        <f t="shared" si="2"/>
        <v>0</v>
      </c>
      <c r="G153" s="572">
        <f t="shared" si="8"/>
        <v>0</v>
      </c>
      <c r="H153" s="549">
        <f t="shared" si="9"/>
        <v>0</v>
      </c>
      <c r="I153" s="567">
        <f t="shared" si="3"/>
        <v>0</v>
      </c>
      <c r="J153" s="567"/>
      <c r="K153" s="982"/>
      <c r="L153" s="569">
        <f t="shared" si="4"/>
        <v>0</v>
      </c>
      <c r="M153" s="982"/>
      <c r="N153" s="569">
        <f t="shared" si="5"/>
        <v>0</v>
      </c>
      <c r="O153" s="569">
        <f t="shared" si="6"/>
        <v>0</v>
      </c>
      <c r="P153" s="524"/>
    </row>
    <row r="154" spans="1:16">
      <c r="A154" s="520"/>
      <c r="B154" s="521" t="str">
        <f t="shared" si="10"/>
        <v/>
      </c>
      <c r="C154" s="564" t="str">
        <f>IF(D100="","-",+C153+1)</f>
        <v>-</v>
      </c>
      <c r="D154" s="570">
        <f t="shared" si="7"/>
        <v>0</v>
      </c>
      <c r="E154" s="571">
        <f>IF(+I103&lt;F153,I103,D154)</f>
        <v>0</v>
      </c>
      <c r="F154" s="570">
        <f t="shared" si="2"/>
        <v>0</v>
      </c>
      <c r="G154" s="572">
        <f t="shared" si="8"/>
        <v>0</v>
      </c>
      <c r="H154" s="549">
        <f t="shared" si="9"/>
        <v>0</v>
      </c>
      <c r="I154" s="567">
        <f t="shared" si="3"/>
        <v>0</v>
      </c>
      <c r="J154" s="567"/>
      <c r="K154" s="982"/>
      <c r="L154" s="569">
        <f t="shared" si="4"/>
        <v>0</v>
      </c>
      <c r="M154" s="982"/>
      <c r="N154" s="569">
        <f t="shared" si="5"/>
        <v>0</v>
      </c>
      <c r="O154" s="569">
        <f t="shared" si="6"/>
        <v>0</v>
      </c>
      <c r="P154" s="524"/>
    </row>
    <row r="155" spans="1:16">
      <c r="A155" s="520"/>
      <c r="B155" s="521" t="str">
        <f t="shared" si="10"/>
        <v/>
      </c>
      <c r="C155" s="564" t="str">
        <f>IF(D100="","-",+C154+1)</f>
        <v>-</v>
      </c>
      <c r="D155" s="570">
        <f t="shared" si="7"/>
        <v>0</v>
      </c>
      <c r="E155" s="571">
        <f>IF(+I103&lt;F154,I103,D155)</f>
        <v>0</v>
      </c>
      <c r="F155" s="570">
        <f t="shared" si="2"/>
        <v>0</v>
      </c>
      <c r="G155" s="572">
        <f t="shared" si="8"/>
        <v>0</v>
      </c>
      <c r="H155" s="549">
        <f t="shared" si="9"/>
        <v>0</v>
      </c>
      <c r="I155" s="567">
        <f t="shared" si="3"/>
        <v>0</v>
      </c>
      <c r="J155" s="567"/>
      <c r="K155" s="982"/>
      <c r="L155" s="569">
        <f t="shared" si="4"/>
        <v>0</v>
      </c>
      <c r="M155" s="982"/>
      <c r="N155" s="569">
        <f t="shared" si="5"/>
        <v>0</v>
      </c>
      <c r="O155" s="569">
        <f t="shared" si="6"/>
        <v>0</v>
      </c>
      <c r="P155" s="524"/>
    </row>
    <row r="156" spans="1:16">
      <c r="A156" s="520"/>
      <c r="B156" s="521" t="str">
        <f t="shared" si="10"/>
        <v/>
      </c>
      <c r="C156" s="564" t="str">
        <f>IF(D100="","-",+C155+1)</f>
        <v>-</v>
      </c>
      <c r="D156" s="570">
        <f t="shared" si="7"/>
        <v>0</v>
      </c>
      <c r="E156" s="571">
        <f>IF(+I103&lt;F155,I103,D156)</f>
        <v>0</v>
      </c>
      <c r="F156" s="570">
        <f t="shared" si="2"/>
        <v>0</v>
      </c>
      <c r="G156" s="572">
        <f t="shared" si="8"/>
        <v>0</v>
      </c>
      <c r="H156" s="549">
        <f t="shared" si="9"/>
        <v>0</v>
      </c>
      <c r="I156" s="567">
        <f t="shared" si="3"/>
        <v>0</v>
      </c>
      <c r="J156" s="567"/>
      <c r="K156" s="982"/>
      <c r="L156" s="569">
        <f t="shared" si="4"/>
        <v>0</v>
      </c>
      <c r="M156" s="982"/>
      <c r="N156" s="569">
        <f t="shared" si="5"/>
        <v>0</v>
      </c>
      <c r="O156" s="569">
        <f t="shared" si="6"/>
        <v>0</v>
      </c>
      <c r="P156" s="524"/>
    </row>
    <row r="157" spans="1:16">
      <c r="A157" s="520"/>
      <c r="B157" s="521" t="str">
        <f t="shared" si="10"/>
        <v/>
      </c>
      <c r="C157" s="564" t="str">
        <f>IF(D100="","-",+C156+1)</f>
        <v>-</v>
      </c>
      <c r="D157" s="570">
        <f t="shared" si="7"/>
        <v>0</v>
      </c>
      <c r="E157" s="571">
        <f>IF(+I103&lt;F156,I103,D157)</f>
        <v>0</v>
      </c>
      <c r="F157" s="570">
        <f t="shared" si="2"/>
        <v>0</v>
      </c>
      <c r="G157" s="572">
        <f t="shared" si="8"/>
        <v>0</v>
      </c>
      <c r="H157" s="549">
        <f t="shared" si="9"/>
        <v>0</v>
      </c>
      <c r="I157" s="567">
        <f t="shared" si="3"/>
        <v>0</v>
      </c>
      <c r="J157" s="567"/>
      <c r="K157" s="982"/>
      <c r="L157" s="569">
        <f t="shared" si="4"/>
        <v>0</v>
      </c>
      <c r="M157" s="982"/>
      <c r="N157" s="569">
        <f t="shared" si="5"/>
        <v>0</v>
      </c>
      <c r="O157" s="569">
        <f t="shared" si="6"/>
        <v>0</v>
      </c>
      <c r="P157" s="524"/>
    </row>
    <row r="158" spans="1:16">
      <c r="A158" s="520"/>
      <c r="B158" s="521" t="str">
        <f t="shared" si="10"/>
        <v/>
      </c>
      <c r="C158" s="564" t="str">
        <f>IF(D100="","-",+C157+1)</f>
        <v>-</v>
      </c>
      <c r="D158" s="570">
        <f t="shared" si="7"/>
        <v>0</v>
      </c>
      <c r="E158" s="571">
        <f>IF(+I103&lt;F157,I103,D158)</f>
        <v>0</v>
      </c>
      <c r="F158" s="570">
        <f t="shared" si="2"/>
        <v>0</v>
      </c>
      <c r="G158" s="572">
        <f t="shared" si="8"/>
        <v>0</v>
      </c>
      <c r="H158" s="549">
        <f t="shared" si="9"/>
        <v>0</v>
      </c>
      <c r="I158" s="567">
        <f t="shared" si="3"/>
        <v>0</v>
      </c>
      <c r="J158" s="567"/>
      <c r="K158" s="982"/>
      <c r="L158" s="569">
        <f t="shared" si="4"/>
        <v>0</v>
      </c>
      <c r="M158" s="982"/>
      <c r="N158" s="569">
        <f t="shared" si="5"/>
        <v>0</v>
      </c>
      <c r="O158" s="569">
        <f t="shared" si="6"/>
        <v>0</v>
      </c>
      <c r="P158" s="524"/>
    </row>
    <row r="159" spans="1:16">
      <c r="A159" s="520"/>
      <c r="B159" s="521" t="str">
        <f t="shared" si="10"/>
        <v/>
      </c>
      <c r="C159" s="564" t="str">
        <f>IF(D100="","-",+C158+1)</f>
        <v>-</v>
      </c>
      <c r="D159" s="570">
        <f t="shared" si="7"/>
        <v>0</v>
      </c>
      <c r="E159" s="571">
        <f>IF(+I103&lt;F158,I103,D159)</f>
        <v>0</v>
      </c>
      <c r="F159" s="570">
        <f t="shared" si="2"/>
        <v>0</v>
      </c>
      <c r="G159" s="572">
        <f t="shared" si="8"/>
        <v>0</v>
      </c>
      <c r="H159" s="549">
        <f t="shared" si="9"/>
        <v>0</v>
      </c>
      <c r="I159" s="567">
        <f t="shared" si="3"/>
        <v>0</v>
      </c>
      <c r="J159" s="567"/>
      <c r="K159" s="982"/>
      <c r="L159" s="569">
        <f t="shared" si="4"/>
        <v>0</v>
      </c>
      <c r="M159" s="982"/>
      <c r="N159" s="569">
        <f t="shared" si="5"/>
        <v>0</v>
      </c>
      <c r="O159" s="569">
        <f t="shared" si="6"/>
        <v>0</v>
      </c>
      <c r="P159" s="524"/>
    </row>
    <row r="160" spans="1:16">
      <c r="A160" s="520"/>
      <c r="B160" s="521" t="str">
        <f t="shared" si="10"/>
        <v/>
      </c>
      <c r="C160" s="564" t="str">
        <f>IF(D100="","-",+C159+1)</f>
        <v>-</v>
      </c>
      <c r="D160" s="570">
        <f t="shared" si="7"/>
        <v>0</v>
      </c>
      <c r="E160" s="571">
        <f>IF(+I103&lt;F159,I103,D160)</f>
        <v>0</v>
      </c>
      <c r="F160" s="570">
        <f t="shared" si="2"/>
        <v>0</v>
      </c>
      <c r="G160" s="572">
        <f t="shared" si="8"/>
        <v>0</v>
      </c>
      <c r="H160" s="549">
        <f t="shared" si="9"/>
        <v>0</v>
      </c>
      <c r="I160" s="567">
        <f t="shared" si="3"/>
        <v>0</v>
      </c>
      <c r="J160" s="567"/>
      <c r="K160" s="982"/>
      <c r="L160" s="569">
        <f t="shared" si="4"/>
        <v>0</v>
      </c>
      <c r="M160" s="982"/>
      <c r="N160" s="569">
        <f t="shared" si="5"/>
        <v>0</v>
      </c>
      <c r="O160" s="569">
        <f t="shared" si="6"/>
        <v>0</v>
      </c>
      <c r="P160" s="524"/>
    </row>
    <row r="161" spans="1:16" ht="13.5" thickBot="1">
      <c r="A161" s="520"/>
      <c r="B161" s="521" t="str">
        <f t="shared" si="10"/>
        <v/>
      </c>
      <c r="C161" s="573" t="str">
        <f>IF(D100="","-",+C160+1)</f>
        <v>-</v>
      </c>
      <c r="D161" s="574">
        <f t="shared" si="7"/>
        <v>0</v>
      </c>
      <c r="E161" s="983">
        <f>IF(+I103&lt;F160,I103,D161)</f>
        <v>0</v>
      </c>
      <c r="F161" s="574">
        <f t="shared" si="2"/>
        <v>0</v>
      </c>
      <c r="G161" s="575">
        <f t="shared" si="8"/>
        <v>0</v>
      </c>
      <c r="H161" s="539">
        <f t="shared" si="9"/>
        <v>0</v>
      </c>
      <c r="I161" s="576">
        <f t="shared" si="3"/>
        <v>0</v>
      </c>
      <c r="J161" s="567"/>
      <c r="K161" s="984"/>
      <c r="L161" s="577">
        <f t="shared" si="4"/>
        <v>0</v>
      </c>
      <c r="M161" s="984"/>
      <c r="N161" s="577">
        <f t="shared" si="5"/>
        <v>0</v>
      </c>
      <c r="O161" s="577">
        <f t="shared" si="6"/>
        <v>0</v>
      </c>
      <c r="P161" s="524"/>
    </row>
    <row r="162" spans="1:16">
      <c r="A162" s="520"/>
      <c r="B162" s="520"/>
      <c r="C162" s="565" t="s">
        <v>529</v>
      </c>
      <c r="D162" s="526"/>
      <c r="E162" s="526">
        <f>SUM(E106:E161)</f>
        <v>0</v>
      </c>
      <c r="F162" s="526"/>
      <c r="G162" s="526">
        <f>SUM(G106:G161)</f>
        <v>0</v>
      </c>
      <c r="H162" s="526">
        <f>SUM(H106:H161)</f>
        <v>0</v>
      </c>
      <c r="I162" s="526">
        <f>SUM(I106:I161)</f>
        <v>0</v>
      </c>
      <c r="J162" s="526"/>
      <c r="K162" s="526"/>
      <c r="L162" s="526"/>
      <c r="M162" s="526"/>
      <c r="N162" s="526"/>
      <c r="O162" s="524"/>
      <c r="P162" s="524"/>
    </row>
    <row r="163" spans="1:16">
      <c r="A163" s="520"/>
      <c r="B163" s="520"/>
      <c r="C163" s="520"/>
      <c r="D163" s="521"/>
      <c r="E163" s="520"/>
      <c r="F163" s="520"/>
      <c r="G163" s="520"/>
      <c r="H163" s="589"/>
      <c r="I163" s="589"/>
      <c r="J163" s="526"/>
      <c r="K163" s="589"/>
      <c r="L163" s="589"/>
      <c r="M163" s="589"/>
      <c r="N163" s="589"/>
      <c r="O163" s="520"/>
      <c r="P163" s="520"/>
    </row>
    <row r="164" spans="1:16">
      <c r="A164" s="520"/>
      <c r="B164" s="520"/>
      <c r="C164" s="194" t="s">
        <v>1140</v>
      </c>
      <c r="D164" s="521"/>
      <c r="E164" s="520"/>
      <c r="F164" s="520"/>
      <c r="G164" s="520"/>
      <c r="H164" s="589"/>
      <c r="I164" s="589"/>
      <c r="J164" s="526"/>
      <c r="K164" s="589"/>
      <c r="L164" s="589"/>
      <c r="M164" s="589"/>
      <c r="N164" s="589"/>
      <c r="O164" s="520"/>
      <c r="P164" s="520"/>
    </row>
    <row r="165" spans="1:16">
      <c r="A165" s="520"/>
      <c r="B165" s="520"/>
      <c r="C165" s="194" t="s">
        <v>530</v>
      </c>
      <c r="D165" s="521"/>
      <c r="E165" s="520"/>
      <c r="F165" s="520"/>
      <c r="G165" s="520"/>
      <c r="H165" s="589"/>
      <c r="I165" s="589"/>
      <c r="J165" s="526"/>
      <c r="K165" s="589"/>
      <c r="L165" s="589"/>
      <c r="M165" s="589"/>
      <c r="N165" s="589"/>
      <c r="O165" s="524"/>
      <c r="P165" s="524"/>
    </row>
    <row r="166" spans="1:16">
      <c r="A166" s="520"/>
      <c r="B166" s="520"/>
      <c r="C166" s="194" t="s">
        <v>531</v>
      </c>
      <c r="D166" s="565"/>
      <c r="E166" s="565"/>
      <c r="F166" s="565"/>
      <c r="G166" s="526"/>
      <c r="H166" s="526"/>
      <c r="I166" s="578"/>
      <c r="J166" s="578"/>
      <c r="K166" s="578"/>
      <c r="L166" s="578"/>
      <c r="M166" s="578"/>
      <c r="N166" s="578"/>
      <c r="O166" s="524"/>
      <c r="P166" s="524"/>
    </row>
    <row r="167" spans="1:16">
      <c r="A167" s="520"/>
      <c r="B167" s="520"/>
      <c r="C167" s="194"/>
      <c r="D167" s="565"/>
      <c r="E167" s="565"/>
      <c r="F167" s="565"/>
      <c r="G167" s="526"/>
      <c r="H167" s="526"/>
      <c r="I167" s="578"/>
      <c r="J167" s="578"/>
      <c r="K167" s="578"/>
      <c r="L167" s="578"/>
      <c r="M167" s="578"/>
      <c r="N167" s="578"/>
      <c r="O167" s="524"/>
      <c r="P167" s="520"/>
    </row>
    <row r="168" spans="1:16">
      <c r="A168" s="520"/>
      <c r="B168" s="520"/>
      <c r="C168" s="40"/>
      <c r="D168" s="521"/>
      <c r="E168" s="520"/>
      <c r="F168" s="579"/>
      <c r="G168" s="520"/>
      <c r="H168" s="589"/>
      <c r="I168" s="520"/>
      <c r="J168" s="524"/>
      <c r="K168" s="520"/>
      <c r="L168" s="520"/>
      <c r="M168" s="520"/>
      <c r="N168" s="520"/>
      <c r="O168" s="520"/>
      <c r="P168" s="520"/>
    </row>
    <row r="169" spans="1:16" ht="18">
      <c r="A169" s="520"/>
      <c r="B169" s="520"/>
      <c r="C169" s="580"/>
      <c r="D169" s="521"/>
      <c r="E169" s="520"/>
      <c r="F169" s="579"/>
      <c r="G169" s="520"/>
      <c r="H169" s="589"/>
      <c r="I169" s="520"/>
      <c r="J169" s="524"/>
      <c r="K169" s="520"/>
      <c r="L169" s="520"/>
      <c r="M169" s="520"/>
      <c r="N169" s="520"/>
      <c r="O169" s="520"/>
      <c r="P169" s="581"/>
    </row>
    <row r="170" spans="1:16">
      <c r="P170" s="38"/>
    </row>
    <row r="171" spans="1:16">
      <c r="P171" s="38"/>
    </row>
    <row r="172" spans="1:16">
      <c r="P172" s="38"/>
    </row>
    <row r="173" spans="1:16">
      <c r="P173" s="38"/>
    </row>
  </sheetData>
  <mergeCells count="8">
    <mergeCell ref="J6:N8"/>
    <mergeCell ref="J9:N9"/>
    <mergeCell ref="J11:N13"/>
    <mergeCell ref="A1:I1"/>
    <mergeCell ref="A2:I2"/>
    <mergeCell ref="A3:I3"/>
    <mergeCell ref="A4:I4"/>
    <mergeCell ref="C6:I6"/>
  </mergeCells>
  <conditionalFormatting sqref="C106:C161">
    <cfRule type="cellIs" dxfId="6" priority="1" stopIfTrue="1" operator="equal">
      <formula>$I$8</formula>
    </cfRule>
  </conditionalFormatting>
  <printOptions horizontalCentered="1"/>
  <pageMargins left="0.25" right="0.25" top="0.75" bottom="0.25" header="0.25" footer="0.5"/>
  <pageSetup scale="41" fitToHeight="5" orientation="landscape" r:id="rId1"/>
  <headerFooter alignWithMargins="0">
    <oddHeader xml:space="preserve">&amp;R&amp;12AEP - SPP Formula Rate
TCOS - WS F
Page: &amp;P of &amp;N&amp;16
</oddHeader>
    <oddFooter xml:space="preserve">&amp;C &amp;R </oddFooter>
  </headerFooter>
  <rowBreaks count="1" manualBreakCount="1">
    <brk id="89" max="14" man="1"/>
  </rowBreak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U168"/>
  <sheetViews>
    <sheetView topLeftCell="F10" zoomScale="70" zoomScaleNormal="70" zoomScaleSheetLayoutView="75" workbookViewId="0">
      <selection activeCell="N17" sqref="N17"/>
    </sheetView>
  </sheetViews>
  <sheetFormatPr defaultColWidth="8.85546875" defaultRowHeight="12.75"/>
  <cols>
    <col min="1" max="1" width="9.28515625" style="38" customWidth="1"/>
    <col min="2" max="2" width="6.7109375" style="38" customWidth="1"/>
    <col min="3" max="3" width="26.5703125" style="38" customWidth="1"/>
    <col min="4" max="4" width="17.7109375" style="198" customWidth="1"/>
    <col min="5" max="5" width="21.7109375" style="38" customWidth="1"/>
    <col min="6" max="8" width="17.7109375" style="38" customWidth="1"/>
    <col min="9" max="9" width="19.5703125" style="171" customWidth="1"/>
    <col min="10" max="10" width="20.28515625" style="171" customWidth="1"/>
    <col min="11" max="11" width="13.5703125" style="171" customWidth="1"/>
    <col min="12" max="13" width="17.7109375" style="38" customWidth="1"/>
    <col min="14" max="14" width="19.28515625" style="38" customWidth="1"/>
    <col min="15" max="15" width="18.42578125" style="38" customWidth="1"/>
    <col min="16" max="16" width="19.5703125" style="38" customWidth="1"/>
    <col min="17" max="17" width="2.140625" style="40" customWidth="1"/>
    <col min="18" max="18" width="16.42578125" style="40" customWidth="1"/>
    <col min="19" max="19" width="57.85546875" style="38" bestFit="1" customWidth="1"/>
    <col min="20" max="20" width="17.140625" style="38" customWidth="1"/>
    <col min="21" max="16384" width="8.85546875" style="38"/>
  </cols>
  <sheetData>
    <row r="1" spans="1:21" ht="18">
      <c r="A1" s="1562" t="str">
        <f>'PSO TCOS'!F3</f>
        <v xml:space="preserve">AEP West SPP Member Operating Companies </v>
      </c>
      <c r="B1" s="1562"/>
      <c r="C1" s="1562"/>
      <c r="D1" s="1562"/>
      <c r="E1" s="1562"/>
      <c r="F1" s="1562"/>
      <c r="G1" s="1562"/>
      <c r="H1" s="1562"/>
      <c r="I1" s="1562"/>
      <c r="J1" s="507"/>
      <c r="K1" s="507"/>
    </row>
    <row r="2" spans="1:21" ht="18">
      <c r="A2" s="1570" t="str">
        <f>+'PSO WS A RB Support '!A2:G2</f>
        <v xml:space="preserve">Actual / Projected 2019 Rate Year Cost of Service Formula Rate </v>
      </c>
      <c r="B2" s="1562"/>
      <c r="C2" s="1562"/>
      <c r="D2" s="1562"/>
      <c r="E2" s="1562"/>
      <c r="F2" s="1562"/>
      <c r="G2" s="1562"/>
      <c r="H2" s="1562"/>
      <c r="I2" s="1562"/>
      <c r="J2" s="898"/>
      <c r="K2" s="898"/>
    </row>
    <row r="3" spans="1:21" ht="18">
      <c r="A3" s="1562" t="s">
        <v>1142</v>
      </c>
      <c r="B3" s="1562"/>
      <c r="C3" s="1562"/>
      <c r="D3" s="1562"/>
      <c r="E3" s="1562"/>
      <c r="F3" s="1562"/>
      <c r="G3" s="1562"/>
      <c r="H3" s="1562"/>
      <c r="I3" s="1562"/>
      <c r="J3" s="898"/>
      <c r="K3" s="898"/>
    </row>
    <row r="4" spans="1:21" ht="18">
      <c r="A4" s="1563" t="str">
        <f>+'PSO TCOS'!F7</f>
        <v>PUBLIC SERVICE COMPANY OF OKLAHOMA</v>
      </c>
      <c r="B4" s="1563"/>
      <c r="C4" s="1563"/>
      <c r="D4" s="1563"/>
      <c r="E4" s="1563"/>
      <c r="F4" s="1563"/>
      <c r="G4" s="1563"/>
      <c r="H4" s="1563"/>
      <c r="I4" s="1563"/>
      <c r="J4" s="385"/>
      <c r="K4" s="385"/>
    </row>
    <row r="6" spans="1:21" ht="35.25" customHeight="1">
      <c r="A6" s="950" t="s">
        <v>345</v>
      </c>
      <c r="B6" s="136" t="s">
        <v>347</v>
      </c>
      <c r="C6" s="1587" t="str">
        <f>"Calculate Return and Income Taxes with "&amp;F11&amp;" basis point ROE increase for Projects Qualified for Incentive."</f>
        <v>Calculate Return and Income Taxes with 0 basis point ROE increase for Projects Qualified for Incentive.</v>
      </c>
      <c r="D6" s="1560"/>
      <c r="E6" s="1560"/>
      <c r="F6" s="1560"/>
      <c r="G6" s="1560"/>
      <c r="H6" s="1560"/>
      <c r="I6" s="1560"/>
      <c r="J6" s="344"/>
      <c r="K6" s="344"/>
      <c r="L6" s="1565" t="s">
        <v>483</v>
      </c>
      <c r="M6" s="1565"/>
      <c r="N6" s="1565"/>
      <c r="O6" s="1565"/>
      <c r="P6" s="1565"/>
      <c r="R6" s="363" t="s">
        <v>552</v>
      </c>
    </row>
    <row r="7" spans="1:21" ht="15.75" customHeight="1">
      <c r="A7" s="950" t="s">
        <v>283</v>
      </c>
      <c r="C7" s="344"/>
      <c r="D7" s="344"/>
      <c r="E7" s="344"/>
      <c r="F7" s="344"/>
      <c r="G7" s="344"/>
      <c r="H7" s="344"/>
      <c r="I7" s="344"/>
      <c r="J7" s="344"/>
      <c r="K7" s="344"/>
      <c r="L7" s="1565"/>
      <c r="M7" s="1565"/>
      <c r="N7" s="1565"/>
      <c r="O7" s="1565"/>
      <c r="P7" s="1565"/>
    </row>
    <row r="8" spans="1:21" ht="15.75">
      <c r="C8" s="206" t="str">
        <f>"A.   Determine 'R' with hypothetical "&amp;F11&amp;" basis point increase in ROE for Identified Projects"</f>
        <v>A.   Determine 'R' with hypothetical 0 basis point increase in ROE for Identified Projects</v>
      </c>
      <c r="L8" s="1565"/>
      <c r="M8" s="1565"/>
      <c r="N8" s="1565"/>
      <c r="O8" s="1565"/>
      <c r="P8" s="1565"/>
      <c r="R8" s="38"/>
      <c r="S8" s="38" t="s">
        <v>195</v>
      </c>
    </row>
    <row r="9" spans="1:21" ht="18" customHeight="1">
      <c r="L9" s="1565"/>
      <c r="M9" s="1565"/>
      <c r="N9" s="1565"/>
      <c r="O9" s="1565"/>
      <c r="P9" s="1565"/>
      <c r="R9" s="445" t="s">
        <v>189</v>
      </c>
      <c r="S9" s="363" t="s">
        <v>377</v>
      </c>
    </row>
    <row r="10" spans="1:21" ht="13.5" thickBot="1">
      <c r="A10" s="198">
        <v>1</v>
      </c>
      <c r="C10" s="149" t="str">
        <f>"   ROE w/o incentives  (TCOS, ln "&amp;'PSO TCOS'!B233&amp;")"</f>
        <v xml:space="preserve">   ROE w/o incentives  (TCOS, ln 141)</v>
      </c>
      <c r="E10" s="216"/>
      <c r="F10" s="307">
        <f>+'PSO TCOS'!J233</f>
        <v>0.112</v>
      </c>
      <c r="G10" s="307"/>
      <c r="H10" s="309"/>
      <c r="I10" s="433"/>
      <c r="J10" s="433"/>
      <c r="K10" s="433"/>
      <c r="L10" s="344"/>
      <c r="M10" s="344"/>
      <c r="N10" s="344"/>
      <c r="O10" s="344"/>
      <c r="P10" s="344"/>
      <c r="Q10" s="158"/>
      <c r="R10" s="363" t="s">
        <v>486</v>
      </c>
      <c r="T10" s="138"/>
    </row>
    <row r="11" spans="1:21" ht="14.25">
      <c r="A11" s="198">
        <f>+A10+1</f>
        <v>2</v>
      </c>
      <c r="C11" s="149" t="s">
        <v>174</v>
      </c>
      <c r="E11" s="216"/>
      <c r="F11" s="951">
        <v>0</v>
      </c>
      <c r="G11" s="299" t="s">
        <v>376</v>
      </c>
      <c r="I11" s="38"/>
      <c r="J11" s="38"/>
      <c r="K11" s="38"/>
      <c r="L11" s="310"/>
      <c r="M11" s="310"/>
      <c r="N11" s="310"/>
      <c r="O11" s="310"/>
      <c r="P11" s="310"/>
      <c r="Q11" s="158"/>
      <c r="R11" s="306" t="s">
        <v>550</v>
      </c>
      <c r="S11" s="446" t="s">
        <v>107</v>
      </c>
      <c r="T11"/>
    </row>
    <row r="12" spans="1:21" ht="13.5" thickBot="1">
      <c r="A12" s="198">
        <f>+A11+1</f>
        <v>3</v>
      </c>
      <c r="C12" s="149" t="str">
        <f>"   ROE with additional "&amp;F11&amp;" basis point incentive"</f>
        <v xml:space="preserve">   ROE with additional 0 basis point incentive</v>
      </c>
      <c r="D12" s="216"/>
      <c r="E12" s="216"/>
      <c r="F12" s="139">
        <f>IF((F10+(F11/10000)&gt;0.1245),"ERROR",F10+(F11/10000))</f>
        <v>0.112</v>
      </c>
      <c r="G12" s="218" t="s">
        <v>1141</v>
      </c>
      <c r="I12" s="310"/>
      <c r="J12" s="310"/>
      <c r="K12" s="310"/>
      <c r="Q12" s="158"/>
      <c r="R12" s="511">
        <f>M16</f>
        <v>2017</v>
      </c>
      <c r="S12" s="436" t="s">
        <v>149</v>
      </c>
      <c r="T12"/>
      <c r="U12" s="40"/>
    </row>
    <row r="13" spans="1:21">
      <c r="A13" s="198">
        <f t="shared" ref="A13:A45" si="0">+A12+1</f>
        <v>4</v>
      </c>
      <c r="C13" s="955" t="str">
        <f>"   Determine R  (cost of long term debt, cost of preferred stock and percent is from TCOS, lns "&amp;'PSO TCOS'!B231&amp;" through "&amp;'PSO TCOS'!B233&amp;")"</f>
        <v xml:space="preserve">   Determine R  (cost of long term debt, cost of preferred stock and percent is from TCOS, lns 139 through 141)</v>
      </c>
      <c r="E13" s="216"/>
      <c r="F13" s="139"/>
      <c r="G13" s="139"/>
      <c r="H13" s="216"/>
      <c r="I13" s="310"/>
      <c r="J13" s="310"/>
      <c r="K13" s="310"/>
      <c r="L13" s="1588" t="s">
        <v>434</v>
      </c>
      <c r="M13" s="1589"/>
      <c r="N13" s="1589"/>
      <c r="O13" s="1589"/>
      <c r="P13" s="1590"/>
      <c r="Q13" s="158"/>
      <c r="R13" s="512">
        <f>+F10</f>
        <v>0.112</v>
      </c>
      <c r="S13" s="436" t="str">
        <f>+C10</f>
        <v xml:space="preserve">   ROE w/o incentives  (TCOS, ln 141)</v>
      </c>
      <c r="T13"/>
      <c r="U13" s="40"/>
    </row>
    <row r="14" spans="1:21" ht="16.5" customHeight="1">
      <c r="A14" s="198">
        <f t="shared" si="0"/>
        <v>5</v>
      </c>
      <c r="C14" s="158"/>
      <c r="D14" s="308" t="s">
        <v>322</v>
      </c>
      <c r="E14" s="308" t="s">
        <v>321</v>
      </c>
      <c r="F14" s="141" t="s">
        <v>419</v>
      </c>
      <c r="G14" s="141"/>
      <c r="H14" s="216"/>
      <c r="I14" s="310"/>
      <c r="J14" s="310"/>
      <c r="K14" s="310"/>
      <c r="L14" s="1591"/>
      <c r="M14" s="1592"/>
      <c r="N14" s="1592"/>
      <c r="O14" s="1592"/>
      <c r="P14" s="1593"/>
      <c r="Q14" s="158"/>
      <c r="R14" s="513">
        <f>+F11</f>
        <v>0</v>
      </c>
      <c r="S14" s="436" t="str">
        <f>+C11</f>
        <v xml:space="preserve">   Project ROE Incentive Adder (Enter as whole number)</v>
      </c>
      <c r="T14"/>
      <c r="U14" s="40"/>
    </row>
    <row r="15" spans="1:21">
      <c r="A15" s="198">
        <f t="shared" si="0"/>
        <v>6</v>
      </c>
      <c r="C15" s="142" t="s">
        <v>422</v>
      </c>
      <c r="D15" s="364">
        <f>IF(+'PSO TCOS'!H231=0,'PSO TCOS'!G231,'PSO TCOS'!H231)</f>
        <v>0.51000680151348399</v>
      </c>
      <c r="E15" s="717">
        <f>+'PSO TCOS'!J231</f>
        <v>5.1744163244506244E-2</v>
      </c>
      <c r="F15" s="718">
        <f>E15*D15</f>
        <v>2.6389875193322209E-2</v>
      </c>
      <c r="G15" s="255"/>
      <c r="H15" s="216"/>
      <c r="I15" s="310"/>
      <c r="J15" s="310"/>
      <c r="K15" s="310"/>
      <c r="L15" s="434"/>
      <c r="M15" s="158"/>
      <c r="N15" s="158" t="s">
        <v>420</v>
      </c>
      <c r="O15" s="158" t="s">
        <v>485</v>
      </c>
      <c r="P15" s="435" t="s">
        <v>421</v>
      </c>
      <c r="Q15" s="437"/>
      <c r="R15" s="512">
        <f>+D15</f>
        <v>0.51000680151348399</v>
      </c>
      <c r="S15" s="447" t="str">
        <f>+C15&amp;" "&amp;D14</f>
        <v>Long Term Debt %</v>
      </c>
      <c r="T15"/>
      <c r="U15" s="40"/>
    </row>
    <row r="16" spans="1:21">
      <c r="A16" s="198">
        <f t="shared" si="0"/>
        <v>7</v>
      </c>
      <c r="C16" s="142" t="s">
        <v>423</v>
      </c>
      <c r="D16" s="364">
        <f>IF(+'PSO TCOS'!H232=0,'PSO TCOS'!G232,'PSO TCOS'!H232)</f>
        <v>0</v>
      </c>
      <c r="E16" s="717">
        <f>+'PSO TCOS'!J232</f>
        <v>0</v>
      </c>
      <c r="F16" s="718">
        <f>E16*D16</f>
        <v>0</v>
      </c>
      <c r="G16" s="255"/>
      <c r="H16" s="144"/>
      <c r="I16" s="144"/>
      <c r="J16" s="144"/>
      <c r="K16" s="144"/>
      <c r="L16" s="434" t="s">
        <v>478</v>
      </c>
      <c r="M16" s="502">
        <v>2017</v>
      </c>
      <c r="N16" s="40"/>
      <c r="O16" s="40"/>
      <c r="P16" s="436"/>
      <c r="Q16" s="151"/>
      <c r="R16" s="514">
        <f>+E15</f>
        <v>5.1744163244506244E-2</v>
      </c>
      <c r="S16" s="447" t="str">
        <f>C15&amp;" "&amp;E14</f>
        <v>Long Term Debt Cost</v>
      </c>
      <c r="T16"/>
      <c r="U16" s="40"/>
    </row>
    <row r="17" spans="1:21">
      <c r="A17" s="198">
        <f t="shared" si="0"/>
        <v>8</v>
      </c>
      <c r="C17" s="142" t="s">
        <v>415</v>
      </c>
      <c r="D17" s="364">
        <f>IF(+'PSO TCOS'!H233=0,'PSO TCOS'!G233,'PSO TCOS'!H233)</f>
        <v>0.48999319848651607</v>
      </c>
      <c r="E17" s="717">
        <f>+F12</f>
        <v>0.112</v>
      </c>
      <c r="F17" s="719">
        <f>E17*D17</f>
        <v>5.4879238230489798E-2</v>
      </c>
      <c r="G17" s="256"/>
      <c r="H17" s="144"/>
      <c r="I17" s="144"/>
      <c r="J17" s="144"/>
      <c r="K17" s="144"/>
      <c r="L17" s="985" t="s">
        <v>479</v>
      </c>
      <c r="M17" s="986"/>
      <c r="N17" s="362">
        <f>+R47</f>
        <v>6729904.4711072175</v>
      </c>
      <c r="O17" s="362">
        <f>+R48</f>
        <v>6729904.4711072175</v>
      </c>
      <c r="P17" s="439">
        <f>+O17-N17</f>
        <v>0</v>
      </c>
      <c r="Q17" s="151"/>
      <c r="R17" s="512">
        <f>+D16</f>
        <v>0</v>
      </c>
      <c r="S17" s="447" t="str">
        <f>C16&amp;" "&amp;D14</f>
        <v>Preferred Stock %</v>
      </c>
      <c r="T17"/>
      <c r="U17" s="40"/>
    </row>
    <row r="18" spans="1:21">
      <c r="A18" s="198">
        <f t="shared" si="0"/>
        <v>9</v>
      </c>
      <c r="C18" s="149"/>
      <c r="D18" s="216"/>
      <c r="E18" s="260" t="s">
        <v>424</v>
      </c>
      <c r="F18" s="718">
        <f>SUM(F15:F17)</f>
        <v>8.1269113423812003E-2</v>
      </c>
      <c r="G18" s="255"/>
      <c r="H18" s="441"/>
      <c r="I18" s="144"/>
      <c r="J18" s="144"/>
      <c r="K18" s="144"/>
      <c r="L18" s="987" t="s">
        <v>484</v>
      </c>
      <c r="M18" s="988"/>
      <c r="N18" s="362">
        <f>+R49</f>
        <v>6814046.4098945772</v>
      </c>
      <c r="O18" s="362">
        <f>+R50</f>
        <v>6814046.4098945772</v>
      </c>
      <c r="P18" s="439">
        <f>+O18-N18</f>
        <v>0</v>
      </c>
      <c r="Q18" s="151"/>
      <c r="R18" s="514">
        <f>+E16</f>
        <v>0</v>
      </c>
      <c r="S18" s="447" t="str">
        <f>C16&amp;" "&amp;E14</f>
        <v>Preferred Stock Cost</v>
      </c>
      <c r="T18"/>
      <c r="U18" s="40"/>
    </row>
    <row r="19" spans="1:21" ht="13.5" thickBot="1">
      <c r="A19" s="198"/>
      <c r="D19" s="143"/>
      <c r="E19" s="143"/>
      <c r="F19" s="144"/>
      <c r="G19" s="144"/>
      <c r="H19" s="144"/>
      <c r="I19" s="144"/>
      <c r="J19" s="144"/>
      <c r="K19" s="144"/>
      <c r="L19" s="989" t="str">
        <f>"True-up Adjustment For "&amp;M16&amp;""</f>
        <v>True-up Adjustment For 2017</v>
      </c>
      <c r="M19" s="990"/>
      <c r="N19" s="509">
        <f>+N18-N17</f>
        <v>84141.938787359744</v>
      </c>
      <c r="O19" s="509">
        <f>+O18-O17</f>
        <v>84141.938787359744</v>
      </c>
      <c r="P19" s="510">
        <f>+P18-P17</f>
        <v>0</v>
      </c>
      <c r="Q19" s="148"/>
      <c r="R19" s="512">
        <f>+D17</f>
        <v>0.48999319848651607</v>
      </c>
      <c r="S19" s="448" t="str">
        <f>C17&amp;" "&amp;D14</f>
        <v>Common Stock %</v>
      </c>
      <c r="T19"/>
      <c r="U19" s="40"/>
    </row>
    <row r="20" spans="1:21" ht="15.75">
      <c r="A20" s="198"/>
      <c r="C20" s="206" t="str">
        <f>"B.   Determine Return using 'R' with hypothetical "&amp;F11&amp;" basis point ROE increase for Identified Projects."</f>
        <v>B.   Determine Return using 'R' with hypothetical 0 basis point ROE increase for Identified Projects.</v>
      </c>
      <c r="D20" s="143"/>
      <c r="E20" s="143"/>
      <c r="F20" s="144"/>
      <c r="G20" s="144"/>
      <c r="H20" s="144"/>
      <c r="I20" s="216"/>
      <c r="J20" s="216"/>
      <c r="K20" s="216"/>
      <c r="L20" s="437"/>
      <c r="M20" s="155"/>
      <c r="N20" s="503"/>
      <c r="O20" s="503"/>
      <c r="P20" s="362"/>
      <c r="Q20" s="148"/>
      <c r="R20" s="515">
        <f>+E22</f>
        <v>496666734.30559325</v>
      </c>
      <c r="S20" s="449" t="str">
        <f>C22</f>
        <v xml:space="preserve">   Rate Base  (TCOS, ln 62)</v>
      </c>
      <c r="T20"/>
      <c r="U20" s="40"/>
    </row>
    <row r="21" spans="1:21">
      <c r="A21" s="198"/>
      <c r="C21" s="158"/>
      <c r="D21" s="143"/>
      <c r="E21" s="143"/>
      <c r="F21" s="148"/>
      <c r="G21" s="148"/>
      <c r="H21" s="148"/>
      <c r="I21" s="148"/>
      <c r="J21" s="148"/>
      <c r="K21" s="148"/>
      <c r="L21" s="144"/>
      <c r="M21" s="144"/>
      <c r="N21" s="144"/>
      <c r="O21" s="144"/>
      <c r="P21" s="144"/>
      <c r="Q21" s="148"/>
      <c r="R21" s="516">
        <f>+F29</f>
        <v>0.2533709999999999</v>
      </c>
      <c r="S21" s="436" t="str">
        <f>+C29</f>
        <v xml:space="preserve">   Tax Rate  (TCOS, ln 97)</v>
      </c>
      <c r="T21"/>
      <c r="U21" s="40"/>
    </row>
    <row r="22" spans="1:21">
      <c r="A22" s="198">
        <f>+A18+1</f>
        <v>10</v>
      </c>
      <c r="C22" s="149" t="str">
        <f>"   Rate Base  (TCOS, ln "&amp;'PSO TCOS'!B110&amp;")"</f>
        <v xml:space="preserve">   Rate Base  (TCOS, ln 62)</v>
      </c>
      <c r="D22" s="216"/>
      <c r="E22" s="261">
        <f>+'PSO TCOS'!L110</f>
        <v>496666734.30559325</v>
      </c>
      <c r="F22" s="145"/>
      <c r="G22" s="145"/>
      <c r="H22" s="148"/>
      <c r="I22" s="148"/>
      <c r="J22" s="148"/>
      <c r="K22" s="148"/>
      <c r="L22" s="194"/>
      <c r="M22" s="148"/>
      <c r="N22" s="148"/>
      <c r="O22" s="148"/>
      <c r="P22" s="148"/>
      <c r="Q22" s="148"/>
      <c r="R22" s="515">
        <f>+F32</f>
        <v>-393625.88846337283</v>
      </c>
      <c r="S22" s="436" t="str">
        <f>+C32</f>
        <v xml:space="preserve">   ITC Adjustment  (TCOS, ln 106)</v>
      </c>
      <c r="T22"/>
      <c r="U22" s="40"/>
    </row>
    <row r="23" spans="1:21">
      <c r="A23" s="198">
        <f t="shared" si="0"/>
        <v>11</v>
      </c>
      <c r="C23" s="158" t="s">
        <v>383</v>
      </c>
      <c r="D23" s="309"/>
      <c r="E23" s="262">
        <f>F18</f>
        <v>8.1269113423812003E-2</v>
      </c>
      <c r="F23" s="148"/>
      <c r="G23" s="148"/>
      <c r="H23" s="148"/>
      <c r="I23" s="148"/>
      <c r="J23" s="148"/>
      <c r="K23" s="148"/>
      <c r="M23" s="148"/>
      <c r="N23" s="148"/>
      <c r="O23" s="148"/>
      <c r="P23" s="145"/>
      <c r="Q23" s="148"/>
      <c r="R23" s="515">
        <f>+F33</f>
        <v>-2558969.7158829882</v>
      </c>
      <c r="S23" s="436" t="str">
        <f>+C33</f>
        <v xml:space="preserve">   Excess DFIT Adjustment  (TCOS, ln 107)</v>
      </c>
      <c r="T23"/>
      <c r="U23" s="40"/>
    </row>
    <row r="24" spans="1:21">
      <c r="A24" s="198">
        <f t="shared" si="0"/>
        <v>12</v>
      </c>
      <c r="C24" s="146" t="s">
        <v>425</v>
      </c>
      <c r="D24" s="146"/>
      <c r="E24" s="263">
        <f>E22*E23</f>
        <v>40363665.164115556</v>
      </c>
      <c r="F24" s="148"/>
      <c r="G24" s="148"/>
      <c r="H24" s="148"/>
      <c r="I24" s="148"/>
      <c r="J24" s="148"/>
      <c r="K24" s="148"/>
      <c r="L24" s="151"/>
      <c r="M24" s="151"/>
      <c r="N24" s="151"/>
      <c r="O24" s="151"/>
      <c r="P24" s="148"/>
      <c r="Q24" s="151"/>
      <c r="R24" s="515">
        <f>+F34</f>
        <v>81004.086366856878</v>
      </c>
      <c r="S24" s="436" t="str">
        <f>+C34</f>
        <v xml:space="preserve">   Tax Effect of Permanent and Flow Through Differences (TCOS, ln 108)</v>
      </c>
      <c r="T24"/>
      <c r="U24" s="40"/>
    </row>
    <row r="25" spans="1:21">
      <c r="A25" s="198"/>
      <c r="C25" s="146"/>
      <c r="D25" s="310"/>
      <c r="E25" s="310"/>
      <c r="F25" s="148"/>
      <c r="G25" s="148"/>
      <c r="H25" s="148"/>
      <c r="I25" s="148"/>
      <c r="J25" s="148"/>
      <c r="K25" s="148"/>
      <c r="Q25" s="151"/>
      <c r="R25" s="515">
        <f>+F41</f>
        <v>97521772.229186505</v>
      </c>
      <c r="S25" s="436" t="str">
        <f>+C41</f>
        <v xml:space="preserve">   Net Revenue Requirement  (TCOS, ln 115)</v>
      </c>
      <c r="T25"/>
      <c r="U25" s="40"/>
    </row>
    <row r="26" spans="1:21" ht="15.75">
      <c r="A26" s="198"/>
      <c r="C26" s="206" t="str">
        <f>"C.   Determine Income Taxes using Return with hypothetical "&amp;F11&amp;" basis point ROE increase for Identified Projects."</f>
        <v>C.   Determine Income Taxes using Return with hypothetical 0 basis point ROE increase for Identified Projects.</v>
      </c>
      <c r="D26" s="311"/>
      <c r="E26" s="311"/>
      <c r="F26" s="442"/>
      <c r="G26" s="442"/>
      <c r="H26" s="442"/>
      <c r="I26" s="442"/>
      <c r="J26" s="442"/>
      <c r="K26" s="442"/>
      <c r="Q26" s="443"/>
      <c r="R26" s="515">
        <f>+F42</f>
        <v>40363665.164115556</v>
      </c>
      <c r="S26" s="436" t="str">
        <f>+C42</f>
        <v xml:space="preserve">   Return  (TCOS, ln 110)</v>
      </c>
      <c r="T26"/>
      <c r="U26" s="40"/>
    </row>
    <row r="27" spans="1:21" ht="14.25" customHeight="1">
      <c r="A27" s="198"/>
      <c r="C27" s="149"/>
      <c r="D27" s="310"/>
      <c r="E27" s="310"/>
      <c r="F27" s="148"/>
      <c r="G27" s="148"/>
      <c r="H27" s="148"/>
      <c r="I27" s="148"/>
      <c r="J27" s="148"/>
      <c r="K27" s="148"/>
      <c r="L27" s="520"/>
      <c r="M27" s="520"/>
      <c r="N27" s="520"/>
      <c r="O27" s="520"/>
      <c r="P27" s="520"/>
      <c r="Q27" s="151"/>
      <c r="R27" s="515">
        <f>+F43</f>
        <v>6378056.3220088147</v>
      </c>
      <c r="S27" s="436" t="str">
        <f>+C43</f>
        <v xml:space="preserve">   Income Taxes  (TCOS, ln 109)</v>
      </c>
      <c r="T27"/>
      <c r="U27" s="138"/>
    </row>
    <row r="28" spans="1:21" ht="19.5" customHeight="1">
      <c r="A28" s="198">
        <f>+A24+1</f>
        <v>13</v>
      </c>
      <c r="C28" s="158" t="s">
        <v>426</v>
      </c>
      <c r="D28" s="260"/>
      <c r="F28" s="969">
        <f>E24</f>
        <v>40363665.164115556</v>
      </c>
      <c r="G28" s="148"/>
      <c r="H28" s="148"/>
      <c r="I28" s="148"/>
      <c r="J28" s="148"/>
      <c r="K28" s="148"/>
      <c r="L28" s="964" t="s">
        <v>150</v>
      </c>
      <c r="M28" s="965" t="s">
        <v>492</v>
      </c>
      <c r="N28" s="966"/>
      <c r="O28" s="966"/>
      <c r="P28" s="583"/>
      <c r="Q28" s="148"/>
      <c r="R28" s="515">
        <f>+F44</f>
        <v>0</v>
      </c>
      <c r="S28" s="436" t="str">
        <f>+C44</f>
        <v xml:space="preserve">  Gross Margin Taxes  (TCOS, ln 114)</v>
      </c>
      <c r="T28"/>
      <c r="U28" s="40"/>
    </row>
    <row r="29" spans="1:21" ht="18">
      <c r="A29" s="198">
        <f t="shared" si="0"/>
        <v>14</v>
      </c>
      <c r="C29" s="149" t="str">
        <f>"   Tax Rate  (TCOS, ln "&amp;'PSO TCOS'!B164&amp;")"</f>
        <v xml:space="preserve">   Tax Rate  (TCOS, ln 97)</v>
      </c>
      <c r="D29" s="260"/>
      <c r="F29" s="164">
        <f>+'PSO TCOS'!G164</f>
        <v>0.2533709999999999</v>
      </c>
      <c r="G29" s="148"/>
      <c r="H29" s="148"/>
      <c r="I29" s="148"/>
      <c r="J29" s="148"/>
      <c r="K29" s="148"/>
      <c r="L29" s="151"/>
      <c r="M29" s="967" t="s">
        <v>480</v>
      </c>
      <c r="N29" s="968"/>
      <c r="O29" s="968"/>
      <c r="P29" s="583"/>
      <c r="Q29" s="148"/>
      <c r="R29" s="515">
        <f>+F54</f>
        <v>21756023.463906325</v>
      </c>
      <c r="S29" s="436" t="str">
        <f>+C54</f>
        <v xml:space="preserve">   Less: Depreciation  (TCOS, ln 84)</v>
      </c>
      <c r="T29"/>
      <c r="U29" s="40"/>
    </row>
    <row r="30" spans="1:21">
      <c r="A30" s="198">
        <f t="shared" si="0"/>
        <v>15</v>
      </c>
      <c r="C30" s="158" t="s">
        <v>232</v>
      </c>
      <c r="F30" s="139">
        <f>IF(F15&gt;0,($F29/(1-$F29))*(1-$F15/$F18),0)</f>
        <v>0.22915777847180038</v>
      </c>
      <c r="L30" s="520"/>
      <c r="M30" s="520"/>
      <c r="N30" s="520"/>
      <c r="O30" s="520"/>
      <c r="P30" s="520"/>
      <c r="R30" s="516">
        <f>+F60</f>
        <v>0</v>
      </c>
      <c r="S30" s="436" t="str">
        <f>+C60</f>
        <v xml:space="preserve">       Apportionment Factor to Texas (Worksheet K, ln 12)</v>
      </c>
      <c r="T30"/>
      <c r="U30" s="40"/>
    </row>
    <row r="31" spans="1:21">
      <c r="A31" s="198">
        <f t="shared" si="0"/>
        <v>16</v>
      </c>
      <c r="C31" s="146" t="s">
        <v>233</v>
      </c>
      <c r="F31" s="207">
        <f>F28*F30</f>
        <v>9249647.8399883192</v>
      </c>
      <c r="L31" s="520"/>
      <c r="M31" s="520"/>
      <c r="N31" s="520"/>
      <c r="O31" s="520"/>
      <c r="P31" s="520"/>
      <c r="R31" s="515">
        <f>+F70</f>
        <v>657550074.02061653</v>
      </c>
      <c r="S31" s="436" t="str">
        <f>+C70</f>
        <v xml:space="preserve">   Net Transmission Plant  (TCOS, ln 37)</v>
      </c>
      <c r="T31"/>
      <c r="U31" s="147"/>
    </row>
    <row r="32" spans="1:21" ht="15">
      <c r="A32" s="198">
        <f t="shared" si="0"/>
        <v>17</v>
      </c>
      <c r="C32" s="149" t="str">
        <f>"   ITC Adjustment  (TCOS, ln "&amp;'PSO TCOS'!B174&amp;")"</f>
        <v xml:space="preserve">   ITC Adjustment  (TCOS, ln 106)</v>
      </c>
      <c r="D32" s="21"/>
      <c r="F32" s="148">
        <f>+'PSO TCOS'!L174</f>
        <v>-393625.88846337283</v>
      </c>
      <c r="G32" s="21"/>
      <c r="H32" s="21"/>
      <c r="I32" s="21"/>
      <c r="J32" s="21"/>
      <c r="K32" s="21"/>
      <c r="L32" s="520"/>
      <c r="M32" s="520"/>
      <c r="N32" s="520"/>
      <c r="O32" s="520"/>
      <c r="P32" s="520"/>
      <c r="Q32" s="21"/>
      <c r="R32" s="516">
        <f>+F76</f>
        <v>0.11522430269379706</v>
      </c>
      <c r="S32" s="450" t="str">
        <f>+C76</f>
        <v xml:space="preserve">   FCR less Depreciation  (TCOS, ln 10)</v>
      </c>
      <c r="T32"/>
      <c r="U32" s="138"/>
    </row>
    <row r="33" spans="1:21" ht="15">
      <c r="A33" s="198">
        <f t="shared" si="0"/>
        <v>18</v>
      </c>
      <c r="C33" s="149" t="str">
        <f>"   Excess DFIT Adjustment  (TCOS, ln "&amp;'PSO TCOS'!B175&amp;")"</f>
        <v xml:space="preserve">   Excess DFIT Adjustment  (TCOS, ln 107)</v>
      </c>
      <c r="D33" s="21"/>
      <c r="F33" s="148">
        <f>+'PSO TCOS'!L175</f>
        <v>-2558969.7158829882</v>
      </c>
      <c r="G33" s="21"/>
      <c r="H33" s="21"/>
      <c r="I33" s="21"/>
      <c r="J33" s="21"/>
      <c r="K33" s="21"/>
      <c r="L33" s="520"/>
      <c r="M33" s="520"/>
      <c r="N33" s="520"/>
      <c r="O33" s="520"/>
      <c r="P33" s="520"/>
      <c r="Q33" s="21"/>
      <c r="R33" s="517">
        <f>+F80</f>
        <v>907181078.47208798</v>
      </c>
      <c r="S33" s="447" t="str">
        <f>+C80</f>
        <v>Transmission Plant @ Beginning of Period (Worksheet A ln 9 col. ((D))</v>
      </c>
      <c r="T33"/>
      <c r="U33" s="138"/>
    </row>
    <row r="34" spans="1:21" ht="15">
      <c r="A34" s="198">
        <f t="shared" si="0"/>
        <v>19</v>
      </c>
      <c r="C34" s="149" t="str">
        <f>"   Tax Effect of Permanent and Flow Through Differences (TCOS, ln "&amp;'PSO TCOS'!B176&amp;")"</f>
        <v xml:space="preserve">   Tax Effect of Permanent and Flow Through Differences (TCOS, ln 108)</v>
      </c>
      <c r="D34" s="21"/>
      <c r="F34" s="148">
        <f>+'PSO TCOS'!L176</f>
        <v>81004.086366856878</v>
      </c>
      <c r="G34" s="21"/>
      <c r="H34" s="21"/>
      <c r="I34" s="21"/>
      <c r="J34" s="21"/>
      <c r="K34" s="21"/>
      <c r="L34" s="520"/>
      <c r="M34" s="520"/>
      <c r="N34" s="520"/>
      <c r="O34" s="520"/>
      <c r="P34" s="520"/>
      <c r="Q34" s="21"/>
      <c r="R34" s="518">
        <f>+F81</f>
        <v>946288588.49154496</v>
      </c>
      <c r="S34" s="448" t="str">
        <f>+C81</f>
        <v>Transmission Plant @ End of Period (Worksheet A ln 9 col. ((C))</v>
      </c>
      <c r="T34"/>
      <c r="U34" s="138"/>
    </row>
    <row r="35" spans="1:21" ht="15">
      <c r="A35" s="198">
        <f t="shared" si="0"/>
        <v>20</v>
      </c>
      <c r="C35" s="146" t="s">
        <v>427</v>
      </c>
      <c r="D35" s="21"/>
      <c r="F35" s="660">
        <f>+SUM(F31:F34)</f>
        <v>6378056.3220088147</v>
      </c>
      <c r="G35" s="21"/>
      <c r="H35" s="21"/>
      <c r="I35" s="21"/>
      <c r="J35" s="21"/>
      <c r="K35" s="21"/>
      <c r="L35" s="962"/>
      <c r="M35" s="962"/>
      <c r="N35" s="962"/>
      <c r="O35" s="962"/>
      <c r="P35" s="962"/>
      <c r="Q35" s="21"/>
      <c r="R35" s="643">
        <f>+F83</f>
        <v>926734833.48181653</v>
      </c>
      <c r="S35" s="451" t="str">
        <f>+C83</f>
        <v xml:space="preserve">Transmission Plant Average Balance for 2019 </v>
      </c>
      <c r="T35"/>
    </row>
    <row r="36" spans="1:21" ht="12.75" customHeight="1" thickBot="1">
      <c r="A36" s="198"/>
      <c r="C36" s="16"/>
      <c r="D36" s="21"/>
      <c r="E36" s="21"/>
      <c r="F36" s="21"/>
      <c r="G36" s="21"/>
      <c r="H36" s="21"/>
      <c r="I36" s="21"/>
      <c r="J36" s="21"/>
      <c r="K36" s="21"/>
      <c r="L36" s="962"/>
      <c r="M36" s="962"/>
      <c r="N36" s="962"/>
      <c r="O36" s="962"/>
      <c r="P36" s="962"/>
      <c r="Q36" s="21"/>
      <c r="R36" s="519">
        <f>+F84</f>
        <v>23388402.214859501</v>
      </c>
      <c r="S36" s="452" t="str">
        <f>+C84</f>
        <v>Annual Depreciation Expense  (TCOS, ln 84)</v>
      </c>
      <c r="T36"/>
    </row>
    <row r="37" spans="1:21" ht="18.75">
      <c r="A37" s="198"/>
      <c r="B37" s="136" t="s">
        <v>348</v>
      </c>
      <c r="C37" s="137" t="str">
        <f>"Calculate Net Plant Carrying Charge Rate (Fixed Charge Rate or FCR) with hypothetical "&amp;F11&amp;" basis point"</f>
        <v>Calculate Net Plant Carrying Charge Rate (Fixed Charge Rate or FCR) with hypothetical 0 basis point</v>
      </c>
      <c r="D37" s="21"/>
      <c r="E37" s="21"/>
      <c r="F37" s="21"/>
      <c r="G37" s="21"/>
      <c r="H37" s="21"/>
      <c r="I37" s="21"/>
      <c r="J37" s="21"/>
      <c r="K37" s="21"/>
      <c r="L37" s="962"/>
      <c r="M37" s="962"/>
      <c r="N37" s="962"/>
      <c r="O37" s="962"/>
      <c r="P37" s="962"/>
      <c r="Q37" s="21"/>
      <c r="R37" s="440"/>
      <c r="S37" s="40"/>
      <c r="T37"/>
    </row>
    <row r="38" spans="1:21" ht="18.75" customHeight="1">
      <c r="A38" s="198"/>
      <c r="B38" s="136"/>
      <c r="C38" s="137" t="str">
        <f>"ROE increase."</f>
        <v>ROE increase.</v>
      </c>
      <c r="D38" s="21"/>
      <c r="E38" s="21"/>
      <c r="F38" s="21"/>
      <c r="G38" s="21"/>
      <c r="H38" s="21"/>
      <c r="I38" s="21"/>
      <c r="J38" s="21"/>
      <c r="K38" s="21"/>
      <c r="L38" s="21"/>
      <c r="M38" s="21"/>
      <c r="N38" s="21"/>
      <c r="O38" s="21"/>
      <c r="P38" s="49"/>
      <c r="Q38" s="21"/>
      <c r="R38" s="38"/>
    </row>
    <row r="39" spans="1:21" ht="12.75" customHeight="1">
      <c r="A39" s="198"/>
      <c r="C39" s="16"/>
      <c r="D39" s="21"/>
      <c r="E39" s="21"/>
      <c r="F39" s="21"/>
      <c r="G39" s="21"/>
      <c r="H39" s="21"/>
      <c r="I39" s="21"/>
      <c r="J39" s="21"/>
      <c r="K39" s="21"/>
      <c r="P39" s="49"/>
      <c r="Q39" s="21"/>
      <c r="R39" s="38"/>
    </row>
    <row r="40" spans="1:21" ht="15.75">
      <c r="A40" s="198"/>
      <c r="C40" s="206" t="s">
        <v>175</v>
      </c>
      <c r="D40" s="21"/>
      <c r="E40" s="21"/>
      <c r="F40" s="20"/>
      <c r="G40" s="20"/>
      <c r="H40" s="21"/>
      <c r="I40" s="21"/>
      <c r="J40" s="21"/>
      <c r="K40" s="21"/>
      <c r="P40" s="49"/>
      <c r="Q40" s="21"/>
      <c r="R40" s="194" t="s">
        <v>196</v>
      </c>
      <c r="S40" s="363" t="s">
        <v>487</v>
      </c>
    </row>
    <row r="41" spans="1:21" ht="12.75" customHeight="1">
      <c r="A41" s="198">
        <f>+A35+1</f>
        <v>21</v>
      </c>
      <c r="C41" s="149" t="str">
        <f>"   Net Revenue Requirement  (TCOS, ln "&amp;'PSO TCOS'!B189&amp;")"</f>
        <v xml:space="preserve">   Net Revenue Requirement  (TCOS, ln 115)</v>
      </c>
      <c r="D41" s="150"/>
      <c r="E41" s="150"/>
      <c r="F41" s="148">
        <f>+'PSO TCOS'!L189</f>
        <v>97521772.229186505</v>
      </c>
      <c r="G41" s="148"/>
      <c r="H41" s="150"/>
      <c r="I41" s="150"/>
      <c r="J41" s="150"/>
      <c r="K41" s="150"/>
      <c r="L41" s="150"/>
      <c r="M41" s="150"/>
      <c r="N41" s="150"/>
      <c r="O41" s="150"/>
      <c r="P41" s="148"/>
      <c r="Q41" s="150"/>
      <c r="R41" s="38"/>
    </row>
    <row r="42" spans="1:21">
      <c r="A42" s="198">
        <f t="shared" si="0"/>
        <v>22</v>
      </c>
      <c r="C42" s="149" t="str">
        <f>"   Return  (TCOS, ln "&amp;'PSO TCOS'!B180&amp;")"</f>
        <v xml:space="preserve">   Return  (TCOS, ln 110)</v>
      </c>
      <c r="D42" s="150"/>
      <c r="E42" s="150"/>
      <c r="F42" s="151">
        <f>+'PSO TCOS'!L180</f>
        <v>40363665.164115556</v>
      </c>
      <c r="G42" s="151"/>
      <c r="H42" s="152"/>
      <c r="I42" s="152"/>
      <c r="J42" s="152"/>
      <c r="K42" s="152"/>
      <c r="L42" s="152"/>
      <c r="M42" s="152"/>
      <c r="N42" s="152"/>
      <c r="O42" s="152"/>
      <c r="P42" s="148"/>
      <c r="Q42" s="152"/>
      <c r="R42" s="363" t="s">
        <v>197</v>
      </c>
      <c r="S42" s="363" t="s">
        <v>487</v>
      </c>
    </row>
    <row r="43" spans="1:21">
      <c r="A43" s="198">
        <f t="shared" si="0"/>
        <v>23</v>
      </c>
      <c r="C43" s="149" t="str">
        <f>"   Income Taxes  (TCOS, ln "&amp;'PSO TCOS'!B178&amp;")"</f>
        <v xml:space="preserve">   Income Taxes  (TCOS, ln 109)</v>
      </c>
      <c r="D43" s="150"/>
      <c r="E43" s="150"/>
      <c r="F43" s="148">
        <f>+'PSO TCOS'!L178</f>
        <v>6378056.3220088147</v>
      </c>
      <c r="G43" s="148"/>
      <c r="H43" s="150"/>
      <c r="I43" s="150"/>
      <c r="J43" s="150"/>
      <c r="K43" s="150"/>
      <c r="L43" s="154"/>
      <c r="M43" s="154"/>
      <c r="N43" s="154"/>
      <c r="O43" s="154"/>
      <c r="P43" s="150"/>
      <c r="Q43" s="154"/>
      <c r="R43" s="363"/>
      <c r="S43" s="194"/>
    </row>
    <row r="44" spans="1:21">
      <c r="A44" s="198">
        <f t="shared" si="0"/>
        <v>24</v>
      </c>
      <c r="C44" s="149" t="str">
        <f>"  Gross Margin Taxes  (TCOS, ln "&amp;'PSO TCOS'!B187&amp;")"</f>
        <v xml:space="preserve">  Gross Margin Taxes  (TCOS, ln 114)</v>
      </c>
      <c r="D44" s="150"/>
      <c r="E44" s="150"/>
      <c r="F44" s="204">
        <f>+'PSO TCOS'!L187</f>
        <v>0</v>
      </c>
      <c r="G44" s="148"/>
      <c r="H44" s="150"/>
      <c r="I44" s="150"/>
      <c r="J44" s="150"/>
      <c r="K44" s="150"/>
      <c r="L44" s="154"/>
      <c r="M44" s="154"/>
      <c r="N44" s="154"/>
      <c r="O44" s="154"/>
      <c r="P44" s="150"/>
      <c r="Q44" s="154"/>
      <c r="R44" s="363"/>
      <c r="S44" s="194"/>
    </row>
    <row r="45" spans="1:21">
      <c r="A45" s="198">
        <f t="shared" si="0"/>
        <v>25</v>
      </c>
      <c r="C45" s="40" t="s">
        <v>36</v>
      </c>
      <c r="D45" s="150"/>
      <c r="E45" s="150"/>
      <c r="F45" s="151">
        <f>F41-F42-F43-F44</f>
        <v>50780050.743062139</v>
      </c>
      <c r="G45" s="151"/>
      <c r="H45" s="155"/>
      <c r="I45" s="150"/>
      <c r="J45" s="150"/>
      <c r="K45" s="150"/>
      <c r="L45" s="155"/>
      <c r="M45" s="155"/>
      <c r="N45" s="155"/>
      <c r="O45" s="155"/>
      <c r="P45" s="155"/>
      <c r="Q45" s="155"/>
      <c r="R45" s="445" t="s">
        <v>193</v>
      </c>
      <c r="S45" s="363" t="s">
        <v>87</v>
      </c>
    </row>
    <row r="46" spans="1:21" ht="13.5" thickBot="1">
      <c r="A46" s="198"/>
      <c r="C46" s="149"/>
      <c r="D46" s="150"/>
      <c r="E46" s="150"/>
      <c r="F46" s="148"/>
      <c r="G46" s="148"/>
      <c r="H46" s="156"/>
      <c r="I46" s="157"/>
      <c r="J46" s="157"/>
      <c r="K46" s="157"/>
      <c r="L46" s="157"/>
      <c r="M46" s="157"/>
      <c r="N46" s="157"/>
      <c r="O46" s="157"/>
      <c r="P46" s="157"/>
      <c r="Q46" s="157"/>
      <c r="R46" s="363" t="s">
        <v>488</v>
      </c>
    </row>
    <row r="47" spans="1:21" ht="15.75">
      <c r="A47" s="198"/>
      <c r="C47" s="206" t="str">
        <f>"B.   Determine Net Revenue Requirement with hypothetical "&amp;F11&amp;" basis point increase in ROE."</f>
        <v>B.   Determine Net Revenue Requirement with hypothetical 0 basis point increase in ROE.</v>
      </c>
      <c r="D47" s="158"/>
      <c r="E47" s="158"/>
      <c r="F47" s="148"/>
      <c r="G47" s="148"/>
      <c r="H47" s="156"/>
      <c r="I47" s="157"/>
      <c r="J47" s="157"/>
      <c r="K47" s="157"/>
      <c r="L47" s="157"/>
      <c r="M47" s="157"/>
      <c r="N47" s="157"/>
      <c r="O47" s="157"/>
      <c r="P47" s="157"/>
      <c r="Q47" s="157"/>
      <c r="R47" s="1381">
        <v>6729904.4711072175</v>
      </c>
      <c r="S47" s="38" t="s">
        <v>1629</v>
      </c>
    </row>
    <row r="48" spans="1:21">
      <c r="A48" s="198">
        <f>+A45+1</f>
        <v>26</v>
      </c>
      <c r="C48" s="149" t="str">
        <f>C45</f>
        <v xml:space="preserve">   Net Revenue Requirement, Less Return and Taxes</v>
      </c>
      <c r="D48" s="158"/>
      <c r="E48" s="158"/>
      <c r="F48" s="148">
        <f>F45</f>
        <v>50780050.743062139</v>
      </c>
      <c r="G48" s="148"/>
      <c r="H48" s="156"/>
      <c r="I48" s="157"/>
      <c r="J48" s="157"/>
      <c r="K48" s="157"/>
      <c r="L48" s="157"/>
      <c r="M48" s="157"/>
      <c r="N48" s="157"/>
      <c r="O48" s="157"/>
      <c r="P48" s="157"/>
      <c r="Q48" s="157"/>
      <c r="R48" s="1382">
        <v>6729904.4711072175</v>
      </c>
      <c r="S48" s="38" t="s">
        <v>1630</v>
      </c>
    </row>
    <row r="49" spans="1:19">
      <c r="A49" s="198">
        <f t="shared" ref="A49:A55" si="1">+A48+1</f>
        <v>27</v>
      </c>
      <c r="C49" s="158" t="s">
        <v>435</v>
      </c>
      <c r="D49" s="160"/>
      <c r="E49" s="40"/>
      <c r="F49" s="161">
        <f>E24</f>
        <v>40363665.164115556</v>
      </c>
      <c r="G49" s="148"/>
      <c r="H49" s="150"/>
      <c r="I49" s="150"/>
      <c r="J49" s="150"/>
      <c r="K49" s="150"/>
      <c r="L49" s="150"/>
      <c r="M49" s="150"/>
      <c r="N49" s="150"/>
      <c r="O49" s="150"/>
      <c r="P49" s="159"/>
      <c r="Q49" s="150"/>
      <c r="R49" s="1467">
        <v>6814046.4098945772</v>
      </c>
      <c r="S49" s="38" t="s">
        <v>1631</v>
      </c>
    </row>
    <row r="50" spans="1:19" ht="13.5" thickBot="1">
      <c r="A50" s="198">
        <f t="shared" si="1"/>
        <v>28</v>
      </c>
      <c r="C50" s="149" t="s">
        <v>428</v>
      </c>
      <c r="D50" s="150"/>
      <c r="E50" s="150"/>
      <c r="F50" s="248">
        <f>F35</f>
        <v>6378056.3220088147</v>
      </c>
      <c r="G50" s="161"/>
      <c r="H50" s="40"/>
      <c r="I50" s="162"/>
      <c r="J50" s="162"/>
      <c r="K50" s="162"/>
      <c r="L50" s="40"/>
      <c r="M50" s="40"/>
      <c r="N50" s="40"/>
      <c r="O50" s="40"/>
      <c r="P50" s="40"/>
      <c r="R50" s="1359">
        <v>6814046.4098945772</v>
      </c>
      <c r="S50" s="38" t="s">
        <v>1632</v>
      </c>
    </row>
    <row r="51" spans="1:19" ht="12.75" customHeight="1">
      <c r="A51" s="198">
        <f t="shared" si="1"/>
        <v>29</v>
      </c>
      <c r="C51" s="40" t="str">
        <f>"   Net Revenue Requirement, with "&amp;F11&amp;" Basis Point ROE increase"</f>
        <v xml:space="preserve">   Net Revenue Requirement, with 0 Basis Point ROE increase</v>
      </c>
      <c r="F51" s="207">
        <f>SUM(F48:F50)</f>
        <v>97521772.229186505</v>
      </c>
      <c r="G51" s="153"/>
    </row>
    <row r="52" spans="1:19">
      <c r="A52" s="198">
        <f t="shared" si="1"/>
        <v>30</v>
      </c>
      <c r="C52" s="147" t="str">
        <f>"   Gross Margin Tax with "&amp;F89&amp;" Basis Point ROE Increase (II C. below)"</f>
        <v xml:space="preserve">   Gross Margin Tax with  Basis Point ROE Increase (II C. below)</v>
      </c>
      <c r="D52" s="163"/>
      <c r="E52" s="163"/>
      <c r="F52" s="205">
        <f>+F67</f>
        <v>0</v>
      </c>
      <c r="G52" s="207"/>
    </row>
    <row r="53" spans="1:19">
      <c r="A53" s="198">
        <f t="shared" si="1"/>
        <v>31</v>
      </c>
      <c r="C53" s="40" t="s">
        <v>37</v>
      </c>
      <c r="F53" s="161">
        <f>+F51+F52</f>
        <v>97521772.229186505</v>
      </c>
      <c r="G53" s="161"/>
    </row>
    <row r="54" spans="1:19">
      <c r="A54" s="198">
        <f t="shared" si="1"/>
        <v>32</v>
      </c>
      <c r="C54" s="149" t="str">
        <f>"   Less: Depreciation  (TCOS, ln "&amp;'PSO TCOS'!B149&amp;")"</f>
        <v xml:space="preserve">   Less: Depreciation  (TCOS, ln 84)</v>
      </c>
      <c r="F54" s="264">
        <f>+'PSO TCOS'!L149</f>
        <v>21756023.463906325</v>
      </c>
      <c r="G54" s="161"/>
    </row>
    <row r="55" spans="1:19">
      <c r="A55" s="198">
        <f t="shared" si="1"/>
        <v>33</v>
      </c>
      <c r="C55" s="40" t="str">
        <f>"   Net Rev. Req, w/"&amp;F11&amp;" Basis Point ROE increase, less Depreciation"</f>
        <v xml:space="preserve">   Net Rev. Req, w/0 Basis Point ROE increase, less Depreciation</v>
      </c>
      <c r="F55" s="207">
        <f>F53-F54</f>
        <v>75765748.765280187</v>
      </c>
      <c r="G55" s="264"/>
    </row>
    <row r="56" spans="1:19">
      <c r="A56" s="198"/>
      <c r="G56" s="207"/>
    </row>
    <row r="57" spans="1:19" ht="15.75">
      <c r="A57" s="198"/>
      <c r="C57" s="206" t="str">
        <f>"C.   Determine Gross Margin Tax with hypothetical "&amp;F11&amp;" basis point increase in ROE."</f>
        <v>C.   Determine Gross Margin Tax with hypothetical 0 basis point increase in ROE.</v>
      </c>
      <c r="D57" s="163"/>
      <c r="E57" s="163"/>
      <c r="F57" s="207"/>
    </row>
    <row r="58" spans="1:19">
      <c r="A58" s="198">
        <f>+A55+1</f>
        <v>34</v>
      </c>
      <c r="C58" s="147" t="str">
        <f>"   Net Revenue Requirement before Gross Margin Taxes, with "&amp;F11&amp;" "</f>
        <v xml:space="preserve">   Net Revenue Requirement before Gross Margin Taxes, with 0 </v>
      </c>
      <c r="D58" s="163"/>
      <c r="E58" s="163"/>
      <c r="F58" s="207">
        <f>+F51</f>
        <v>97521772.229186505</v>
      </c>
      <c r="G58" s="207"/>
    </row>
    <row r="59" spans="1:19">
      <c r="A59" s="198">
        <f t="shared" ref="A59:A67" si="2">+A58+1</f>
        <v>35</v>
      </c>
      <c r="C59" s="147" t="s">
        <v>38</v>
      </c>
      <c r="D59" s="163"/>
      <c r="E59" s="163"/>
      <c r="F59" s="207"/>
      <c r="G59" s="207"/>
    </row>
    <row r="60" spans="1:19">
      <c r="A60" s="198">
        <f t="shared" si="2"/>
        <v>36</v>
      </c>
      <c r="C60" s="40" t="str">
        <f>"       Apportionment Factor to Texas (Worksheet K, ln "&amp;'PSO WS K State Taxes'!A52&amp;")"</f>
        <v xml:space="preserve">       Apportionment Factor to Texas (Worksheet K, ln 12)</v>
      </c>
      <c r="F60" s="208">
        <f>+'PSO WS K State Taxes'!E52</f>
        <v>0</v>
      </c>
      <c r="G60" s="207"/>
    </row>
    <row r="61" spans="1:19">
      <c r="A61" s="198">
        <f t="shared" si="2"/>
        <v>37</v>
      </c>
      <c r="C61" s="40" t="s">
        <v>39</v>
      </c>
      <c r="F61" s="207">
        <f>+F60*F58</f>
        <v>0</v>
      </c>
      <c r="G61" s="164"/>
    </row>
    <row r="62" spans="1:19">
      <c r="A62" s="198">
        <f t="shared" si="2"/>
        <v>38</v>
      </c>
      <c r="C62" s="40" t="s">
        <v>1429</v>
      </c>
      <c r="F62" s="1384">
        <v>0.22</v>
      </c>
      <c r="G62" s="207"/>
    </row>
    <row r="63" spans="1:19">
      <c r="A63" s="198">
        <f t="shared" si="2"/>
        <v>39</v>
      </c>
      <c r="C63" s="40" t="s">
        <v>40</v>
      </c>
      <c r="F63" s="207">
        <f>+F61*F62</f>
        <v>0</v>
      </c>
      <c r="G63" s="252"/>
    </row>
    <row r="64" spans="1:19">
      <c r="A64" s="198">
        <f t="shared" si="2"/>
        <v>40</v>
      </c>
      <c r="C64" s="40" t="s">
        <v>41</v>
      </c>
      <c r="F64" s="1384">
        <v>0.01</v>
      </c>
      <c r="G64" s="207"/>
    </row>
    <row r="65" spans="1:8">
      <c r="A65" s="198">
        <f t="shared" si="2"/>
        <v>41</v>
      </c>
      <c r="C65" s="40" t="s">
        <v>42</v>
      </c>
      <c r="F65" s="207">
        <f>+F63*F64</f>
        <v>0</v>
      </c>
      <c r="G65" s="252"/>
    </row>
    <row r="66" spans="1:8">
      <c r="A66" s="198">
        <f t="shared" si="2"/>
        <v>42</v>
      </c>
      <c r="C66" s="40" t="s">
        <v>43</v>
      </c>
      <c r="F66" s="209">
        <f>+ROUND((F65*F62*F60)/(1-F64)*F64,0)</f>
        <v>0</v>
      </c>
      <c r="G66" s="207"/>
    </row>
    <row r="67" spans="1:8">
      <c r="A67" s="198">
        <f t="shared" si="2"/>
        <v>43</v>
      </c>
      <c r="C67" s="40" t="s">
        <v>44</v>
      </c>
      <c r="F67" s="207">
        <f>+F65+F66</f>
        <v>0</v>
      </c>
      <c r="G67" s="253"/>
    </row>
    <row r="68" spans="1:8">
      <c r="A68" s="198"/>
      <c r="G68" s="207"/>
    </row>
    <row r="69" spans="1:8" ht="15.75">
      <c r="A69" s="198"/>
      <c r="C69" s="206" t="str">
        <f>"D.   Determine FCR with hypothetical "&amp;F11&amp;" basis point ROE increase."</f>
        <v>D.   Determine FCR with hypothetical 0 basis point ROE increase.</v>
      </c>
    </row>
    <row r="70" spans="1:8">
      <c r="A70" s="198">
        <f>+A67+1</f>
        <v>44</v>
      </c>
      <c r="C70" s="149" t="str">
        <f>"   Net Transmission Plant  (TCOS, ln "&amp;'PSO TCOS'!B78&amp;")"</f>
        <v xml:space="preserve">   Net Transmission Plant  (TCOS, ln 37)</v>
      </c>
      <c r="F70" s="207">
        <f>+'PSO TCOS'!L78</f>
        <v>657550074.02061653</v>
      </c>
    </row>
    <row r="71" spans="1:8" ht="15">
      <c r="A71" s="198">
        <f>+A70+1</f>
        <v>45</v>
      </c>
      <c r="C71" s="40" t="str">
        <f>"   Net Revenue Requirement, with "&amp;F11&amp;" Basis Point ROE increase"</f>
        <v xml:space="preserve">   Net Revenue Requirement, with 0 Basis Point ROE increase</v>
      </c>
      <c r="F71" s="312">
        <f>+F53</f>
        <v>97521772.229186505</v>
      </c>
      <c r="G71" s="207"/>
    </row>
    <row r="72" spans="1:8" ht="15">
      <c r="A72" s="198">
        <f>+A71+1</f>
        <v>46</v>
      </c>
      <c r="C72" s="40" t="str">
        <f>"   FCR with "&amp;F11&amp;" Basis Point increase in ROE"</f>
        <v xml:space="preserve">   FCR with 0 Basis Point increase in ROE</v>
      </c>
      <c r="F72" s="265">
        <f>IF(F70=0,0,F71/F70)</f>
        <v>0.1483107919567033</v>
      </c>
      <c r="G72" s="312"/>
    </row>
    <row r="73" spans="1:8">
      <c r="A73" s="198"/>
      <c r="G73" s="265"/>
    </row>
    <row r="74" spans="1:8">
      <c r="A74" s="198">
        <f>+A72+1</f>
        <v>47</v>
      </c>
      <c r="C74" s="40" t="str">
        <f>"   Net Rev. Req, w / "&amp;F11&amp;" Basis Point ROE increase, less Dep."</f>
        <v xml:space="preserve">   Net Rev. Req, w / 0 Basis Point ROE increase, less Dep.</v>
      </c>
      <c r="F74" s="207">
        <f>+F55</f>
        <v>75765748.765280187</v>
      </c>
      <c r="H74" s="265"/>
    </row>
    <row r="75" spans="1:8">
      <c r="A75" s="198">
        <f t="shared" ref="A75:A87" si="3">+A74+1</f>
        <v>48</v>
      </c>
      <c r="C75" s="40" t="str">
        <f>"   FCR with "&amp;F11&amp;" Basis Point ROE increase, less Depreciation"</f>
        <v xml:space="preserve">   FCR with 0 Basis Point ROE increase, less Depreciation</v>
      </c>
      <c r="F75" s="265">
        <f>IF(F70=0,0,F74/F70)</f>
        <v>0.11522430269379706</v>
      </c>
      <c r="G75" s="207"/>
    </row>
    <row r="76" spans="1:8">
      <c r="A76" s="198">
        <f t="shared" si="3"/>
        <v>49</v>
      </c>
      <c r="C76" s="149" t="str">
        <f>"   FCR less Depreciation  (TCOS, ln "&amp;'PSO TCOS'!B29&amp;")"</f>
        <v xml:space="preserve">   FCR less Depreciation  (TCOS, ln 10)</v>
      </c>
      <c r="F76" s="266">
        <f>+'PSO TCOS'!L29</f>
        <v>0.11522430269379706</v>
      </c>
      <c r="G76" s="265"/>
      <c r="H76" s="207"/>
    </row>
    <row r="77" spans="1:8">
      <c r="A77" s="198">
        <f t="shared" si="3"/>
        <v>50</v>
      </c>
      <c r="C77" s="40" t="str">
        <f>"   Incremental FCR with "&amp;F11&amp;" Basis Point ROE increase, less Depreciation"</f>
        <v xml:space="preserve">   Incremental FCR with 0 Basis Point ROE increase, less Depreciation</v>
      </c>
      <c r="F77" s="265">
        <f>F75-F76</f>
        <v>0</v>
      </c>
      <c r="G77" s="266"/>
      <c r="H77" s="386"/>
    </row>
    <row r="78" spans="1:8">
      <c r="A78" s="198"/>
      <c r="C78" s="40"/>
      <c r="F78" s="265"/>
      <c r="G78" s="265"/>
    </row>
    <row r="79" spans="1:8" ht="18.75">
      <c r="A79" s="198"/>
      <c r="B79" s="136" t="s">
        <v>349</v>
      </c>
      <c r="C79" s="137" t="s">
        <v>429</v>
      </c>
      <c r="F79" s="265"/>
      <c r="G79" s="265"/>
    </row>
    <row r="80" spans="1:8" ht="12.75" customHeight="1">
      <c r="A80" s="198">
        <f>+A77+1</f>
        <v>51</v>
      </c>
      <c r="B80" s="136"/>
      <c r="C80" s="40" t="str">
        <f>"Transmission Plant @ Beginning of Period (Worksheet A ln "&amp;'PSO WS A RB Support '!A25&amp;" col. ("&amp;'PSO WS A RB Support '!F6&amp;")"</f>
        <v>Transmission Plant @ Beginning of Period (Worksheet A ln 9 col. ((D))</v>
      </c>
      <c r="F80" s="171">
        <f>+'PSO WS A RB Support '!F25</f>
        <v>907181078.47208798</v>
      </c>
    </row>
    <row r="81" spans="1:16" ht="12.75" customHeight="1">
      <c r="A81" s="198">
        <f t="shared" si="3"/>
        <v>52</v>
      </c>
      <c r="B81" s="136"/>
      <c r="C81" s="40" t="str">
        <f>"Transmission Plant @ End of Period (Worksheet A ln "&amp;'PSO WS A RB Support '!A25&amp;" col. ("&amp;'PSO WS A RB Support '!E6&amp;")"</f>
        <v>Transmission Plant @ End of Period (Worksheet A ln 9 col. ((C))</v>
      </c>
      <c r="F81" s="1259">
        <f>+'PSO WS A RB Support '!E25</f>
        <v>946288588.49154496</v>
      </c>
    </row>
    <row r="82" spans="1:16" ht="12.75" customHeight="1">
      <c r="A82" s="198"/>
      <c r="B82" s="136"/>
      <c r="C82" s="40"/>
      <c r="F82" s="171">
        <f>+F81+F80</f>
        <v>1853469666.9636331</v>
      </c>
    </row>
    <row r="83" spans="1:16" ht="12.75" customHeight="1">
      <c r="A83" s="198">
        <f>+A81+1</f>
        <v>53</v>
      </c>
      <c r="C83" s="40" t="str">
        <f>"Transmission Plant Average Balance for "&amp;'PSO TCOS'!$N$1&amp;" "</f>
        <v xml:space="preserve">Transmission Plant Average Balance for 2019 </v>
      </c>
      <c r="F83" s="162">
        <f>+F82/2</f>
        <v>926734833.48181653</v>
      </c>
      <c r="G83" s="171"/>
    </row>
    <row r="84" spans="1:16">
      <c r="A84" s="198">
        <f t="shared" si="3"/>
        <v>54</v>
      </c>
      <c r="C84" s="970" t="str">
        <f>"Annual Depreciation Expense  (TCOS, ln "&amp;'PSO TCOS'!B149&amp;")"</f>
        <v>Annual Depreciation Expense  (TCOS, ln 84)</v>
      </c>
      <c r="F84" s="162">
        <f>+'PSO TCOS'!G149</f>
        <v>23388402.214859501</v>
      </c>
      <c r="G84" s="162"/>
    </row>
    <row r="85" spans="1:16">
      <c r="A85" s="198">
        <f t="shared" si="3"/>
        <v>55</v>
      </c>
      <c r="C85" s="40" t="s">
        <v>430</v>
      </c>
      <c r="F85" s="265">
        <f>IF(F83=0,0,F84/F83)</f>
        <v>2.5237426467490612E-2</v>
      </c>
      <c r="G85" s="162"/>
    </row>
    <row r="86" spans="1:16">
      <c r="A86" s="198">
        <f t="shared" si="3"/>
        <v>56</v>
      </c>
      <c r="C86" s="40" t="s">
        <v>431</v>
      </c>
      <c r="F86" s="267">
        <f>IF(F85=0,0,1/F85)</f>
        <v>39.623691476155145</v>
      </c>
      <c r="G86" s="265"/>
      <c r="I86" s="444"/>
      <c r="J86" s="444"/>
      <c r="K86" s="444"/>
    </row>
    <row r="87" spans="1:16">
      <c r="A87" s="198">
        <f t="shared" si="3"/>
        <v>57</v>
      </c>
      <c r="C87" s="40" t="s">
        <v>432</v>
      </c>
      <c r="F87" s="268">
        <f>ROUND(F86,0)</f>
        <v>40</v>
      </c>
      <c r="G87" s="267"/>
    </row>
    <row r="88" spans="1:16">
      <c r="A88" s="198"/>
      <c r="C88" s="149"/>
      <c r="D88" s="158"/>
      <c r="E88" s="158"/>
      <c r="F88" s="148"/>
      <c r="G88" s="268"/>
    </row>
    <row r="89" spans="1:16">
      <c r="C89" s="40"/>
      <c r="F89" s="268"/>
      <c r="G89" s="268"/>
    </row>
    <row r="91" spans="1:16" ht="20.25">
      <c r="A91" s="635" t="str">
        <f>"Worksheet G  --  "&amp;'PSO TCOS'!F7&amp;"--  Calculation of Trued-Up ARR for SPP Base Plan Upgrade Projects"</f>
        <v>Worksheet G  --  PUBLIC SERVICE COMPANY OF OKLAHOMA--  Calculation of Trued-Up ARR for SPP Base Plan Upgrade Projects</v>
      </c>
      <c r="B91" s="588"/>
      <c r="C91" s="602"/>
      <c r="D91" s="598"/>
      <c r="E91" s="588"/>
      <c r="F91" s="604"/>
      <c r="G91" s="604"/>
      <c r="H91" s="588"/>
      <c r="I91" s="589"/>
      <c r="J91" s="588"/>
      <c r="K91" s="599"/>
      <c r="L91" s="606"/>
      <c r="M91" s="606"/>
      <c r="N91" s="588"/>
      <c r="O91" s="588"/>
      <c r="P91" s="606"/>
    </row>
    <row r="92" spans="1:16" ht="18">
      <c r="A92" s="588"/>
      <c r="B92" s="588"/>
      <c r="C92" s="588"/>
      <c r="D92" s="598"/>
      <c r="E92" s="588"/>
      <c r="F92" s="588"/>
      <c r="G92" s="588"/>
      <c r="H92" s="588"/>
      <c r="I92" s="589"/>
      <c r="J92" s="588"/>
      <c r="K92" s="599"/>
      <c r="L92" s="588"/>
      <c r="M92" s="588"/>
      <c r="N92" s="588"/>
      <c r="O92" s="588"/>
      <c r="P92" s="636"/>
    </row>
    <row r="93" spans="1:16" ht="18.75" thickBot="1">
      <c r="A93" s="588"/>
      <c r="B93" s="600" t="s">
        <v>350</v>
      </c>
      <c r="C93" s="623" t="s">
        <v>535</v>
      </c>
      <c r="D93" s="598"/>
      <c r="E93" s="588"/>
      <c r="F93" s="588"/>
      <c r="G93" s="588"/>
      <c r="H93" s="588"/>
      <c r="I93" s="589"/>
      <c r="J93" s="589"/>
      <c r="K93" s="526"/>
      <c r="L93" s="589"/>
      <c r="M93" s="589"/>
      <c r="N93" s="589"/>
      <c r="O93" s="526"/>
      <c r="P93" s="588"/>
    </row>
    <row r="94" spans="1:16" ht="15.75" thickBot="1">
      <c r="A94" s="588"/>
      <c r="B94" s="588"/>
      <c r="C94" s="16"/>
      <c r="D94" s="598"/>
      <c r="E94" s="588"/>
      <c r="F94" s="588"/>
      <c r="G94" s="588"/>
      <c r="H94" s="588"/>
      <c r="I94" s="589"/>
      <c r="J94" s="589"/>
      <c r="K94" s="526"/>
      <c r="L94" s="1383">
        <f>+M16</f>
        <v>2017</v>
      </c>
      <c r="M94" s="637" t="s">
        <v>420</v>
      </c>
      <c r="N94" s="638" t="s">
        <v>536</v>
      </c>
      <c r="O94" s="639" t="s">
        <v>421</v>
      </c>
      <c r="P94" s="588"/>
    </row>
    <row r="95" spans="1:16" ht="15">
      <c r="A95" s="588"/>
      <c r="B95" s="588"/>
      <c r="C95" s="591" t="s">
        <v>499</v>
      </c>
      <c r="D95" s="598"/>
      <c r="E95" s="588"/>
      <c r="F95" s="588"/>
      <c r="G95" s="588"/>
      <c r="H95" s="972"/>
      <c r="I95" s="991"/>
      <c r="J95" s="588"/>
      <c r="K95" s="992"/>
      <c r="L95" s="993" t="s">
        <v>548</v>
      </c>
      <c r="M95" s="624"/>
      <c r="N95" s="624"/>
      <c r="O95" s="625">
        <v>0</v>
      </c>
      <c r="P95" s="588"/>
    </row>
    <row r="96" spans="1:16" ht="15.75">
      <c r="A96" s="588"/>
      <c r="B96" s="588"/>
      <c r="C96" s="601"/>
      <c r="D96" s="598"/>
      <c r="E96" s="588"/>
      <c r="F96" s="588"/>
      <c r="G96" s="588"/>
      <c r="H96" s="588"/>
      <c r="I96" s="533"/>
      <c r="J96" s="533"/>
      <c r="K96" s="994"/>
      <c r="L96" s="995" t="s">
        <v>549</v>
      </c>
      <c r="M96" s="626"/>
      <c r="N96" s="626"/>
      <c r="O96" s="627">
        <v>0</v>
      </c>
      <c r="P96" s="588"/>
    </row>
    <row r="97" spans="1:16" ht="13.5" thickBot="1">
      <c r="A97" s="588"/>
      <c r="B97" s="588"/>
      <c r="C97" s="607" t="s">
        <v>537</v>
      </c>
      <c r="D97" s="975"/>
      <c r="E97" s="975"/>
      <c r="F97" s="588"/>
      <c r="G97" s="588"/>
      <c r="H97" s="588"/>
      <c r="I97" s="589"/>
      <c r="J97" s="589"/>
      <c r="K97" s="983"/>
      <c r="L97" s="640" t="s">
        <v>538</v>
      </c>
      <c r="M97" s="629"/>
      <c r="N97" s="629"/>
      <c r="O97" s="630">
        <v>0</v>
      </c>
      <c r="P97" s="588"/>
    </row>
    <row r="98" spans="1:16" ht="13.5" thickBot="1">
      <c r="A98" s="588"/>
      <c r="B98" s="588"/>
      <c r="C98" s="607"/>
      <c r="D98" s="996" t="s">
        <v>375</v>
      </c>
      <c r="E98" s="605"/>
      <c r="F98" s="605"/>
      <c r="G98" s="605"/>
      <c r="H98" s="608"/>
      <c r="I98" s="589"/>
      <c r="J98" s="589"/>
      <c r="K98" s="526"/>
      <c r="L98" s="589"/>
      <c r="M98" s="589"/>
      <c r="N98" s="589"/>
      <c r="O98" s="526"/>
      <c r="P98" s="588"/>
    </row>
    <row r="99" spans="1:16" ht="13.5" thickBot="1">
      <c r="A99" s="731"/>
      <c r="B99" s="588"/>
      <c r="C99" s="631" t="s">
        <v>539</v>
      </c>
      <c r="D99" s="977"/>
      <c r="E99" s="1010" t="s">
        <v>1145</v>
      </c>
      <c r="F99" s="997"/>
      <c r="G99" s="997"/>
      <c r="H99" s="997"/>
      <c r="I99" s="997"/>
      <c r="J99" s="997"/>
      <c r="K99" s="998"/>
      <c r="L99" s="588"/>
      <c r="M99" s="588"/>
      <c r="N99" s="588"/>
      <c r="O99" s="588"/>
      <c r="P99" s="999"/>
    </row>
    <row r="100" spans="1:16" ht="15">
      <c r="A100" s="588"/>
      <c r="B100" s="588"/>
      <c r="C100" s="641" t="s">
        <v>503</v>
      </c>
      <c r="D100" s="1000"/>
      <c r="E100" s="602" t="s">
        <v>149</v>
      </c>
      <c r="F100" s="588"/>
      <c r="G100" s="588"/>
      <c r="H100" s="610"/>
      <c r="I100" s="610"/>
      <c r="J100" s="596">
        <f>+M16</f>
        <v>2017</v>
      </c>
      <c r="K100" s="609"/>
      <c r="L100" s="526" t="s">
        <v>540</v>
      </c>
      <c r="M100" s="588"/>
      <c r="N100" s="588"/>
      <c r="O100" s="588"/>
      <c r="P100" s="599"/>
    </row>
    <row r="101" spans="1:16" ht="15">
      <c r="A101" s="588"/>
      <c r="B101" s="588"/>
      <c r="C101" s="611" t="s">
        <v>505</v>
      </c>
      <c r="D101" s="1001"/>
      <c r="E101" s="611" t="s">
        <v>506</v>
      </c>
      <c r="F101" s="610"/>
      <c r="G101" s="610"/>
      <c r="H101" s="588"/>
      <c r="I101" s="588"/>
      <c r="J101" s="612">
        <v>0</v>
      </c>
      <c r="K101" s="613"/>
      <c r="L101" s="588" t="s">
        <v>542</v>
      </c>
      <c r="M101" s="588"/>
      <c r="N101" s="588"/>
      <c r="O101" s="588"/>
      <c r="P101" s="599"/>
    </row>
    <row r="102" spans="1:16" ht="15">
      <c r="A102" s="588"/>
      <c r="B102" s="588"/>
      <c r="C102" s="611" t="s">
        <v>507</v>
      </c>
      <c r="D102" s="1001"/>
      <c r="E102" s="611" t="s">
        <v>508</v>
      </c>
      <c r="F102" s="610"/>
      <c r="G102" s="610"/>
      <c r="H102" s="588"/>
      <c r="I102" s="588"/>
      <c r="J102" s="614">
        <f>+F76</f>
        <v>0.11522430269379706</v>
      </c>
      <c r="K102" s="615"/>
      <c r="L102" s="588" t="s">
        <v>543</v>
      </c>
      <c r="M102" s="588"/>
      <c r="N102" s="588"/>
      <c r="O102" s="588"/>
      <c r="P102" s="599"/>
    </row>
    <row r="103" spans="1:16" ht="15">
      <c r="A103" s="588"/>
      <c r="B103" s="588"/>
      <c r="C103" s="611" t="s">
        <v>510</v>
      </c>
      <c r="D103" s="1001"/>
      <c r="E103" s="611" t="s">
        <v>511</v>
      </c>
      <c r="F103" s="610"/>
      <c r="G103" s="610"/>
      <c r="H103" s="588"/>
      <c r="I103" s="588"/>
      <c r="J103" s="547">
        <f>IF(H95="",J102,F75)</f>
        <v>0.11522430269379706</v>
      </c>
      <c r="K103" s="603"/>
      <c r="L103" s="526" t="s">
        <v>512</v>
      </c>
      <c r="M103" s="603"/>
      <c r="N103" s="603"/>
      <c r="O103" s="603"/>
      <c r="P103" s="599"/>
    </row>
    <row r="104" spans="1:16" ht="15.75" thickBot="1">
      <c r="A104" s="588"/>
      <c r="B104" s="588"/>
      <c r="C104" s="611" t="s">
        <v>513</v>
      </c>
      <c r="D104" s="1001"/>
      <c r="E104" s="628" t="s">
        <v>514</v>
      </c>
      <c r="F104" s="632"/>
      <c r="G104" s="632"/>
      <c r="H104" s="1002"/>
      <c r="I104" s="1002"/>
      <c r="J104" s="539"/>
      <c r="K104" s="526"/>
      <c r="L104" s="526"/>
      <c r="M104" s="526"/>
      <c r="N104" s="526"/>
      <c r="O104" s="526"/>
      <c r="P104" s="599"/>
    </row>
    <row r="105" spans="1:16" ht="38.25">
      <c r="A105" s="1003"/>
      <c r="B105" s="1003"/>
      <c r="C105" s="633" t="s">
        <v>433</v>
      </c>
      <c r="D105" s="555" t="s">
        <v>515</v>
      </c>
      <c r="E105" s="555" t="s">
        <v>516</v>
      </c>
      <c r="F105" s="555" t="s">
        <v>517</v>
      </c>
      <c r="G105" s="595" t="s">
        <v>212</v>
      </c>
      <c r="H105" s="642" t="s">
        <v>544</v>
      </c>
      <c r="I105" s="642" t="s">
        <v>519</v>
      </c>
      <c r="J105" s="633" t="s">
        <v>545</v>
      </c>
      <c r="K105" s="634"/>
      <c r="L105" s="556" t="s">
        <v>546</v>
      </c>
      <c r="M105" s="556" t="s">
        <v>547</v>
      </c>
      <c r="N105" s="556" t="s">
        <v>546</v>
      </c>
      <c r="O105" s="556" t="s">
        <v>547</v>
      </c>
      <c r="P105" s="556" t="s">
        <v>523</v>
      </c>
    </row>
    <row r="106" spans="1:16" ht="13.5" thickBot="1">
      <c r="A106" s="588"/>
      <c r="B106" s="588"/>
      <c r="C106" s="616" t="s">
        <v>524</v>
      </c>
      <c r="D106" s="594" t="s">
        <v>353</v>
      </c>
      <c r="E106" s="617" t="s">
        <v>252</v>
      </c>
      <c r="F106" s="617" t="s">
        <v>353</v>
      </c>
      <c r="G106" s="617" t="s">
        <v>353</v>
      </c>
      <c r="H106" s="562" t="s">
        <v>525</v>
      </c>
      <c r="I106" s="586" t="s">
        <v>526</v>
      </c>
      <c r="J106" s="617" t="s">
        <v>1138</v>
      </c>
      <c r="K106" s="618"/>
      <c r="L106" s="561" t="s">
        <v>528</v>
      </c>
      <c r="M106" s="561" t="s">
        <v>528</v>
      </c>
      <c r="N106" s="561" t="s">
        <v>1139</v>
      </c>
      <c r="O106" s="561" t="s">
        <v>1139</v>
      </c>
      <c r="P106" s="561" t="s">
        <v>1139</v>
      </c>
    </row>
    <row r="107" spans="1:16">
      <c r="A107" s="588"/>
      <c r="B107" s="588"/>
      <c r="C107" s="619" t="s">
        <v>541</v>
      </c>
      <c r="D107" s="620">
        <v>0</v>
      </c>
      <c r="E107" s="571">
        <v>0</v>
      </c>
      <c r="F107" s="648">
        <v>0</v>
      </c>
      <c r="G107" s="651">
        <v>0</v>
      </c>
      <c r="H107" s="653">
        <v>0</v>
      </c>
      <c r="I107" s="654">
        <v>0</v>
      </c>
      <c r="J107" s="647">
        <v>0</v>
      </c>
      <c r="K107" s="647"/>
      <c r="L107" s="1004"/>
      <c r="M107" s="646">
        <v>0</v>
      </c>
      <c r="N107" s="1004"/>
      <c r="O107" s="646">
        <v>0</v>
      </c>
      <c r="P107" s="646">
        <v>0</v>
      </c>
    </row>
    <row r="108" spans="1:16">
      <c r="A108" s="588"/>
      <c r="B108" s="598"/>
      <c r="C108" s="619">
        <v>2014</v>
      </c>
      <c r="D108" s="620">
        <v>0</v>
      </c>
      <c r="E108" s="571">
        <v>0</v>
      </c>
      <c r="F108" s="648">
        <v>0</v>
      </c>
      <c r="G108" s="648">
        <v>0</v>
      </c>
      <c r="H108" s="572">
        <v>0</v>
      </c>
      <c r="I108" s="1005">
        <v>0</v>
      </c>
      <c r="J108" s="647">
        <v>0</v>
      </c>
      <c r="K108" s="647"/>
      <c r="L108" s="1006"/>
      <c r="M108" s="647">
        <v>0</v>
      </c>
      <c r="N108" s="1006"/>
      <c r="O108" s="647">
        <v>0</v>
      </c>
      <c r="P108" s="647">
        <v>0</v>
      </c>
    </row>
    <row r="109" spans="1:16">
      <c r="A109" s="588"/>
      <c r="B109" s="598" t="s">
        <v>375</v>
      </c>
      <c r="C109" s="619">
        <v>2015</v>
      </c>
      <c r="D109" s="620">
        <v>0</v>
      </c>
      <c r="E109" s="571">
        <v>0</v>
      </c>
      <c r="F109" s="648">
        <v>0</v>
      </c>
      <c r="G109" s="648">
        <v>0</v>
      </c>
      <c r="H109" s="572">
        <v>0</v>
      </c>
      <c r="I109" s="1005">
        <v>0</v>
      </c>
      <c r="J109" s="647">
        <v>0</v>
      </c>
      <c r="K109" s="647"/>
      <c r="L109" s="1006"/>
      <c r="M109" s="647">
        <v>0</v>
      </c>
      <c r="N109" s="1006"/>
      <c r="O109" s="647">
        <v>0</v>
      </c>
      <c r="P109" s="647">
        <v>0</v>
      </c>
    </row>
    <row r="110" spans="1:16">
      <c r="A110" s="588"/>
      <c r="B110" s="598" t="s">
        <v>375</v>
      </c>
      <c r="C110" s="619">
        <v>2016</v>
      </c>
      <c r="D110" s="620">
        <v>0</v>
      </c>
      <c r="E110" s="571">
        <v>0</v>
      </c>
      <c r="F110" s="648">
        <v>0</v>
      </c>
      <c r="G110" s="648">
        <v>0</v>
      </c>
      <c r="H110" s="572">
        <v>0</v>
      </c>
      <c r="I110" s="1005">
        <v>0</v>
      </c>
      <c r="J110" s="647">
        <v>0</v>
      </c>
      <c r="K110" s="647"/>
      <c r="L110" s="1006"/>
      <c r="M110" s="647">
        <v>0</v>
      </c>
      <c r="N110" s="1006"/>
      <c r="O110" s="647">
        <v>0</v>
      </c>
      <c r="P110" s="647">
        <v>0</v>
      </c>
    </row>
    <row r="111" spans="1:16">
      <c r="A111" s="588"/>
      <c r="B111" s="598" t="s">
        <v>375</v>
      </c>
      <c r="C111" s="619">
        <v>2017</v>
      </c>
      <c r="D111" s="620">
        <v>0</v>
      </c>
      <c r="E111" s="571">
        <v>0</v>
      </c>
      <c r="F111" s="648">
        <v>0</v>
      </c>
      <c r="G111" s="648">
        <v>0</v>
      </c>
      <c r="H111" s="572">
        <v>0</v>
      </c>
      <c r="I111" s="1005">
        <v>0</v>
      </c>
      <c r="J111" s="647">
        <v>0</v>
      </c>
      <c r="K111" s="647"/>
      <c r="L111" s="1006"/>
      <c r="M111" s="647">
        <v>0</v>
      </c>
      <c r="N111" s="1006"/>
      <c r="O111" s="647">
        <v>0</v>
      </c>
      <c r="P111" s="647">
        <v>0</v>
      </c>
    </row>
    <row r="112" spans="1:16">
      <c r="A112" s="588"/>
      <c r="B112" s="598" t="s">
        <v>375</v>
      </c>
      <c r="C112" s="619">
        <v>2018</v>
      </c>
      <c r="D112" s="620">
        <v>0</v>
      </c>
      <c r="E112" s="571">
        <v>0</v>
      </c>
      <c r="F112" s="648">
        <v>0</v>
      </c>
      <c r="G112" s="648">
        <v>0</v>
      </c>
      <c r="H112" s="572">
        <v>0</v>
      </c>
      <c r="I112" s="1005">
        <v>0</v>
      </c>
      <c r="J112" s="647">
        <v>0</v>
      </c>
      <c r="K112" s="647"/>
      <c r="L112" s="1006"/>
      <c r="M112" s="647">
        <v>0</v>
      </c>
      <c r="N112" s="1006"/>
      <c r="O112" s="647">
        <v>0</v>
      </c>
      <c r="P112" s="647">
        <v>0</v>
      </c>
    </row>
    <row r="113" spans="1:16">
      <c r="A113" s="588"/>
      <c r="B113" s="598" t="s">
        <v>375</v>
      </c>
      <c r="C113" s="619">
        <v>2019</v>
      </c>
      <c r="D113" s="620">
        <v>0</v>
      </c>
      <c r="E113" s="571">
        <v>0</v>
      </c>
      <c r="F113" s="648">
        <v>0</v>
      </c>
      <c r="G113" s="648">
        <v>0</v>
      </c>
      <c r="H113" s="572">
        <v>0</v>
      </c>
      <c r="I113" s="1005">
        <v>0</v>
      </c>
      <c r="J113" s="647">
        <v>0</v>
      </c>
      <c r="K113" s="647"/>
      <c r="L113" s="1006"/>
      <c r="M113" s="647">
        <v>0</v>
      </c>
      <c r="N113" s="1006"/>
      <c r="O113" s="647">
        <v>0</v>
      </c>
      <c r="P113" s="647">
        <v>0</v>
      </c>
    </row>
    <row r="114" spans="1:16">
      <c r="A114" s="588"/>
      <c r="B114" s="598" t="s">
        <v>375</v>
      </c>
      <c r="C114" s="619">
        <v>2020</v>
      </c>
      <c r="D114" s="620">
        <v>0</v>
      </c>
      <c r="E114" s="571">
        <v>0</v>
      </c>
      <c r="F114" s="648">
        <v>0</v>
      </c>
      <c r="G114" s="648">
        <v>0</v>
      </c>
      <c r="H114" s="572">
        <v>0</v>
      </c>
      <c r="I114" s="1005">
        <v>0</v>
      </c>
      <c r="J114" s="647">
        <v>0</v>
      </c>
      <c r="K114" s="647"/>
      <c r="L114" s="1006"/>
      <c r="M114" s="647">
        <v>0</v>
      </c>
      <c r="N114" s="1006"/>
      <c r="O114" s="647">
        <v>0</v>
      </c>
      <c r="P114" s="647">
        <v>0</v>
      </c>
    </row>
    <row r="115" spans="1:16">
      <c r="A115" s="588"/>
      <c r="B115" s="598" t="s">
        <v>375</v>
      </c>
      <c r="C115" s="619">
        <v>2021</v>
      </c>
      <c r="D115" s="620">
        <v>0</v>
      </c>
      <c r="E115" s="571">
        <v>0</v>
      </c>
      <c r="F115" s="648">
        <v>0</v>
      </c>
      <c r="G115" s="648">
        <v>0</v>
      </c>
      <c r="H115" s="572">
        <v>0</v>
      </c>
      <c r="I115" s="1005">
        <v>0</v>
      </c>
      <c r="J115" s="647">
        <v>0</v>
      </c>
      <c r="K115" s="647"/>
      <c r="L115" s="1006"/>
      <c r="M115" s="647">
        <v>0</v>
      </c>
      <c r="N115" s="1006"/>
      <c r="O115" s="647">
        <v>0</v>
      </c>
      <c r="P115" s="647">
        <v>0</v>
      </c>
    </row>
    <row r="116" spans="1:16">
      <c r="A116" s="588"/>
      <c r="B116" s="598" t="s">
        <v>375</v>
      </c>
      <c r="C116" s="619">
        <v>2022</v>
      </c>
      <c r="D116" s="620">
        <v>0</v>
      </c>
      <c r="E116" s="571">
        <v>0</v>
      </c>
      <c r="F116" s="648">
        <v>0</v>
      </c>
      <c r="G116" s="648">
        <v>0</v>
      </c>
      <c r="H116" s="572">
        <v>0</v>
      </c>
      <c r="I116" s="1005">
        <v>0</v>
      </c>
      <c r="J116" s="647">
        <v>0</v>
      </c>
      <c r="K116" s="647"/>
      <c r="L116" s="1006"/>
      <c r="M116" s="647">
        <v>0</v>
      </c>
      <c r="N116" s="1006"/>
      <c r="O116" s="647">
        <v>0</v>
      </c>
      <c r="P116" s="647">
        <v>0</v>
      </c>
    </row>
    <row r="117" spans="1:16">
      <c r="A117" s="588"/>
      <c r="B117" s="598" t="s">
        <v>375</v>
      </c>
      <c r="C117" s="619">
        <v>2023</v>
      </c>
      <c r="D117" s="620">
        <v>0</v>
      </c>
      <c r="E117" s="571">
        <v>0</v>
      </c>
      <c r="F117" s="648">
        <v>0</v>
      </c>
      <c r="G117" s="648">
        <v>0</v>
      </c>
      <c r="H117" s="572">
        <v>0</v>
      </c>
      <c r="I117" s="1005">
        <v>0</v>
      </c>
      <c r="J117" s="647">
        <v>0</v>
      </c>
      <c r="K117" s="647"/>
      <c r="L117" s="1006"/>
      <c r="M117" s="647">
        <v>0</v>
      </c>
      <c r="N117" s="1006"/>
      <c r="O117" s="647">
        <v>0</v>
      </c>
      <c r="P117" s="647">
        <v>0</v>
      </c>
    </row>
    <row r="118" spans="1:16">
      <c r="A118" s="588"/>
      <c r="B118" s="598" t="s">
        <v>375</v>
      </c>
      <c r="C118" s="619">
        <v>2024</v>
      </c>
      <c r="D118" s="620">
        <v>0</v>
      </c>
      <c r="E118" s="571">
        <v>0</v>
      </c>
      <c r="F118" s="648">
        <v>0</v>
      </c>
      <c r="G118" s="648">
        <v>0</v>
      </c>
      <c r="H118" s="572">
        <v>0</v>
      </c>
      <c r="I118" s="1005">
        <v>0</v>
      </c>
      <c r="J118" s="647">
        <v>0</v>
      </c>
      <c r="K118" s="647"/>
      <c r="L118" s="1006"/>
      <c r="M118" s="647">
        <v>0</v>
      </c>
      <c r="N118" s="1006"/>
      <c r="O118" s="647">
        <v>0</v>
      </c>
      <c r="P118" s="647">
        <v>0</v>
      </c>
    </row>
    <row r="119" spans="1:16">
      <c r="A119" s="588"/>
      <c r="B119" s="598" t="s">
        <v>375</v>
      </c>
      <c r="C119" s="619">
        <v>2025</v>
      </c>
      <c r="D119" s="620">
        <v>0</v>
      </c>
      <c r="E119" s="571">
        <v>0</v>
      </c>
      <c r="F119" s="648">
        <v>0</v>
      </c>
      <c r="G119" s="648">
        <v>0</v>
      </c>
      <c r="H119" s="572">
        <v>0</v>
      </c>
      <c r="I119" s="1005">
        <v>0</v>
      </c>
      <c r="J119" s="647">
        <v>0</v>
      </c>
      <c r="K119" s="647"/>
      <c r="L119" s="1006"/>
      <c r="M119" s="647">
        <v>0</v>
      </c>
      <c r="N119" s="1006"/>
      <c r="O119" s="647">
        <v>0</v>
      </c>
      <c r="P119" s="647">
        <v>0</v>
      </c>
    </row>
    <row r="120" spans="1:16">
      <c r="A120" s="588"/>
      <c r="B120" s="598" t="s">
        <v>375</v>
      </c>
      <c r="C120" s="619">
        <v>2026</v>
      </c>
      <c r="D120" s="620">
        <v>0</v>
      </c>
      <c r="E120" s="571">
        <v>0</v>
      </c>
      <c r="F120" s="648">
        <v>0</v>
      </c>
      <c r="G120" s="648">
        <v>0</v>
      </c>
      <c r="H120" s="572">
        <v>0</v>
      </c>
      <c r="I120" s="1005">
        <v>0</v>
      </c>
      <c r="J120" s="647">
        <v>0</v>
      </c>
      <c r="K120" s="647"/>
      <c r="L120" s="1006"/>
      <c r="M120" s="647">
        <v>0</v>
      </c>
      <c r="N120" s="1006"/>
      <c r="O120" s="647">
        <v>0</v>
      </c>
      <c r="P120" s="647">
        <v>0</v>
      </c>
    </row>
    <row r="121" spans="1:16">
      <c r="B121" s="598" t="s">
        <v>375</v>
      </c>
      <c r="C121" s="619">
        <v>2027</v>
      </c>
      <c r="D121" s="620">
        <v>0</v>
      </c>
      <c r="E121" s="571">
        <v>0</v>
      </c>
      <c r="F121" s="648">
        <v>0</v>
      </c>
      <c r="G121" s="648">
        <v>0</v>
      </c>
      <c r="H121" s="572">
        <v>0</v>
      </c>
      <c r="I121" s="1005">
        <v>0</v>
      </c>
      <c r="J121" s="647">
        <v>0</v>
      </c>
      <c r="K121" s="647"/>
      <c r="L121" s="1006"/>
      <c r="M121" s="647">
        <v>0</v>
      </c>
      <c r="N121" s="1006"/>
      <c r="O121" s="647">
        <v>0</v>
      </c>
      <c r="P121" s="647">
        <v>0</v>
      </c>
    </row>
    <row r="122" spans="1:16">
      <c r="B122" s="598" t="s">
        <v>375</v>
      </c>
      <c r="C122" s="619">
        <v>2028</v>
      </c>
      <c r="D122" s="620">
        <v>0</v>
      </c>
      <c r="E122" s="571">
        <v>0</v>
      </c>
      <c r="F122" s="648">
        <v>0</v>
      </c>
      <c r="G122" s="648">
        <v>0</v>
      </c>
      <c r="H122" s="572">
        <v>0</v>
      </c>
      <c r="I122" s="1005">
        <v>0</v>
      </c>
      <c r="J122" s="647">
        <v>0</v>
      </c>
      <c r="K122" s="647"/>
      <c r="L122" s="1006"/>
      <c r="M122" s="647">
        <v>0</v>
      </c>
      <c r="N122" s="1006"/>
      <c r="O122" s="647">
        <v>0</v>
      </c>
      <c r="P122" s="647">
        <v>0</v>
      </c>
    </row>
    <row r="123" spans="1:16">
      <c r="B123" s="598" t="s">
        <v>375</v>
      </c>
      <c r="C123" s="619">
        <v>2029</v>
      </c>
      <c r="D123" s="620">
        <v>0</v>
      </c>
      <c r="E123" s="571">
        <v>0</v>
      </c>
      <c r="F123" s="648">
        <v>0</v>
      </c>
      <c r="G123" s="648">
        <v>0</v>
      </c>
      <c r="H123" s="572">
        <v>0</v>
      </c>
      <c r="I123" s="1005">
        <v>0</v>
      </c>
      <c r="J123" s="647">
        <v>0</v>
      </c>
      <c r="K123" s="647"/>
      <c r="L123" s="1006"/>
      <c r="M123" s="647">
        <v>0</v>
      </c>
      <c r="N123" s="1006"/>
      <c r="O123" s="647">
        <v>0</v>
      </c>
      <c r="P123" s="647">
        <v>0</v>
      </c>
    </row>
    <row r="124" spans="1:16">
      <c r="B124" s="598" t="s">
        <v>375</v>
      </c>
      <c r="C124" s="619">
        <v>2030</v>
      </c>
      <c r="D124" s="620">
        <v>0</v>
      </c>
      <c r="E124" s="571">
        <v>0</v>
      </c>
      <c r="F124" s="648">
        <v>0</v>
      </c>
      <c r="G124" s="648">
        <v>0</v>
      </c>
      <c r="H124" s="572">
        <v>0</v>
      </c>
      <c r="I124" s="1005">
        <v>0</v>
      </c>
      <c r="J124" s="647">
        <v>0</v>
      </c>
      <c r="K124" s="647"/>
      <c r="L124" s="1006"/>
      <c r="M124" s="647">
        <v>0</v>
      </c>
      <c r="N124" s="1006"/>
      <c r="O124" s="647">
        <v>0</v>
      </c>
      <c r="P124" s="647">
        <v>0</v>
      </c>
    </row>
    <row r="125" spans="1:16">
      <c r="B125" s="598" t="s">
        <v>375</v>
      </c>
      <c r="C125" s="619">
        <v>2031</v>
      </c>
      <c r="D125" s="620">
        <v>0</v>
      </c>
      <c r="E125" s="571">
        <v>0</v>
      </c>
      <c r="F125" s="648">
        <v>0</v>
      </c>
      <c r="G125" s="648">
        <v>0</v>
      </c>
      <c r="H125" s="572">
        <v>0</v>
      </c>
      <c r="I125" s="1005">
        <v>0</v>
      </c>
      <c r="J125" s="647">
        <v>0</v>
      </c>
      <c r="K125" s="647"/>
      <c r="L125" s="1006"/>
      <c r="M125" s="647">
        <v>0</v>
      </c>
      <c r="N125" s="1006"/>
      <c r="O125" s="647">
        <v>0</v>
      </c>
      <c r="P125" s="647">
        <v>0</v>
      </c>
    </row>
    <row r="126" spans="1:16">
      <c r="B126" s="598" t="s">
        <v>375</v>
      </c>
      <c r="C126" s="619">
        <v>2032</v>
      </c>
      <c r="D126" s="620">
        <v>0</v>
      </c>
      <c r="E126" s="571">
        <v>0</v>
      </c>
      <c r="F126" s="648">
        <v>0</v>
      </c>
      <c r="G126" s="648">
        <v>0</v>
      </c>
      <c r="H126" s="572">
        <v>0</v>
      </c>
      <c r="I126" s="1005">
        <v>0</v>
      </c>
      <c r="J126" s="647">
        <v>0</v>
      </c>
      <c r="K126" s="647"/>
      <c r="L126" s="1006"/>
      <c r="M126" s="647">
        <v>0</v>
      </c>
      <c r="N126" s="1006"/>
      <c r="O126" s="647">
        <v>0</v>
      </c>
      <c r="P126" s="647">
        <v>0</v>
      </c>
    </row>
    <row r="127" spans="1:16">
      <c r="B127" s="598" t="s">
        <v>375</v>
      </c>
      <c r="C127" s="619">
        <v>2033</v>
      </c>
      <c r="D127" s="620">
        <v>0</v>
      </c>
      <c r="E127" s="571">
        <v>0</v>
      </c>
      <c r="F127" s="648">
        <v>0</v>
      </c>
      <c r="G127" s="648">
        <v>0</v>
      </c>
      <c r="H127" s="572">
        <v>0</v>
      </c>
      <c r="I127" s="1005">
        <v>0</v>
      </c>
      <c r="J127" s="647">
        <v>0</v>
      </c>
      <c r="K127" s="647"/>
      <c r="L127" s="1006"/>
      <c r="M127" s="647">
        <v>0</v>
      </c>
      <c r="N127" s="1006"/>
      <c r="O127" s="647">
        <v>0</v>
      </c>
      <c r="P127" s="647">
        <v>0</v>
      </c>
    </row>
    <row r="128" spans="1:16">
      <c r="B128" s="598" t="s">
        <v>375</v>
      </c>
      <c r="C128" s="619">
        <v>2034</v>
      </c>
      <c r="D128" s="620">
        <v>0</v>
      </c>
      <c r="E128" s="571">
        <v>0</v>
      </c>
      <c r="F128" s="648">
        <v>0</v>
      </c>
      <c r="G128" s="648">
        <v>0</v>
      </c>
      <c r="H128" s="572">
        <v>0</v>
      </c>
      <c r="I128" s="1005">
        <v>0</v>
      </c>
      <c r="J128" s="647">
        <v>0</v>
      </c>
      <c r="K128" s="647"/>
      <c r="L128" s="1006"/>
      <c r="M128" s="647">
        <v>0</v>
      </c>
      <c r="N128" s="1006"/>
      <c r="O128" s="647">
        <v>0</v>
      </c>
      <c r="P128" s="647">
        <v>0</v>
      </c>
    </row>
    <row r="129" spans="2:18">
      <c r="B129" s="598" t="s">
        <v>375</v>
      </c>
      <c r="C129" s="619">
        <v>2035</v>
      </c>
      <c r="D129" s="620">
        <v>0</v>
      </c>
      <c r="E129" s="571">
        <v>0</v>
      </c>
      <c r="F129" s="648">
        <v>0</v>
      </c>
      <c r="G129" s="648">
        <v>0</v>
      </c>
      <c r="H129" s="572">
        <v>0</v>
      </c>
      <c r="I129" s="1005">
        <v>0</v>
      </c>
      <c r="J129" s="647">
        <v>0</v>
      </c>
      <c r="K129" s="647"/>
      <c r="L129" s="1006"/>
      <c r="M129" s="647">
        <v>0</v>
      </c>
      <c r="N129" s="1006"/>
      <c r="O129" s="647">
        <v>0</v>
      </c>
      <c r="P129" s="647">
        <v>0</v>
      </c>
    </row>
    <row r="130" spans="2:18">
      <c r="B130" s="598" t="s">
        <v>375</v>
      </c>
      <c r="C130" s="619">
        <v>2036</v>
      </c>
      <c r="D130" s="620">
        <v>0</v>
      </c>
      <c r="E130" s="571">
        <v>0</v>
      </c>
      <c r="F130" s="648">
        <v>0</v>
      </c>
      <c r="G130" s="648">
        <v>0</v>
      </c>
      <c r="H130" s="572">
        <v>0</v>
      </c>
      <c r="I130" s="1005">
        <v>0</v>
      </c>
      <c r="J130" s="647">
        <v>0</v>
      </c>
      <c r="K130" s="647"/>
      <c r="L130" s="1006"/>
      <c r="M130" s="647">
        <v>0</v>
      </c>
      <c r="N130" s="1006"/>
      <c r="O130" s="647">
        <v>0</v>
      </c>
      <c r="P130" s="647">
        <v>0</v>
      </c>
    </row>
    <row r="131" spans="2:18">
      <c r="B131" s="598" t="s">
        <v>375</v>
      </c>
      <c r="C131" s="619">
        <v>2037</v>
      </c>
      <c r="D131" s="620">
        <v>0</v>
      </c>
      <c r="E131" s="571">
        <v>0</v>
      </c>
      <c r="F131" s="648">
        <v>0</v>
      </c>
      <c r="G131" s="648">
        <v>0</v>
      </c>
      <c r="H131" s="572">
        <v>0</v>
      </c>
      <c r="I131" s="1005">
        <v>0</v>
      </c>
      <c r="J131" s="647">
        <v>0</v>
      </c>
      <c r="K131" s="647"/>
      <c r="L131" s="1006"/>
      <c r="M131" s="647">
        <v>0</v>
      </c>
      <c r="N131" s="1006"/>
      <c r="O131" s="647">
        <v>0</v>
      </c>
      <c r="P131" s="647">
        <v>0</v>
      </c>
    </row>
    <row r="132" spans="2:18">
      <c r="B132" s="598" t="s">
        <v>375</v>
      </c>
      <c r="C132" s="619">
        <v>2038</v>
      </c>
      <c r="D132" s="620">
        <v>0</v>
      </c>
      <c r="E132" s="571">
        <v>0</v>
      </c>
      <c r="F132" s="648">
        <v>0</v>
      </c>
      <c r="G132" s="648">
        <v>0</v>
      </c>
      <c r="H132" s="572">
        <v>0</v>
      </c>
      <c r="I132" s="1005">
        <v>0</v>
      </c>
      <c r="J132" s="647">
        <v>0</v>
      </c>
      <c r="K132" s="647"/>
      <c r="L132" s="1006"/>
      <c r="M132" s="647">
        <v>0</v>
      </c>
      <c r="N132" s="1006"/>
      <c r="O132" s="647">
        <v>0</v>
      </c>
      <c r="P132" s="647">
        <v>0</v>
      </c>
    </row>
    <row r="133" spans="2:18">
      <c r="B133" s="598" t="s">
        <v>375</v>
      </c>
      <c r="C133" s="619">
        <v>2039</v>
      </c>
      <c r="D133" s="620">
        <v>0</v>
      </c>
      <c r="E133" s="571">
        <v>0</v>
      </c>
      <c r="F133" s="648">
        <v>0</v>
      </c>
      <c r="G133" s="648">
        <v>0</v>
      </c>
      <c r="H133" s="572">
        <v>0</v>
      </c>
      <c r="I133" s="1005">
        <v>0</v>
      </c>
      <c r="J133" s="647">
        <v>0</v>
      </c>
      <c r="K133" s="647"/>
      <c r="L133" s="1006"/>
      <c r="M133" s="647">
        <v>0</v>
      </c>
      <c r="N133" s="1006"/>
      <c r="O133" s="647">
        <v>0</v>
      </c>
      <c r="P133" s="647">
        <v>0</v>
      </c>
    </row>
    <row r="134" spans="2:18">
      <c r="B134" s="598" t="s">
        <v>375</v>
      </c>
      <c r="C134" s="619">
        <v>2040</v>
      </c>
      <c r="D134" s="620">
        <v>0</v>
      </c>
      <c r="E134" s="571">
        <v>0</v>
      </c>
      <c r="F134" s="648">
        <v>0</v>
      </c>
      <c r="G134" s="648">
        <v>0</v>
      </c>
      <c r="H134" s="572">
        <v>0</v>
      </c>
      <c r="I134" s="1005">
        <v>0</v>
      </c>
      <c r="J134" s="647">
        <v>0</v>
      </c>
      <c r="K134" s="647"/>
      <c r="L134" s="1006"/>
      <c r="M134" s="647">
        <v>0</v>
      </c>
      <c r="N134" s="1006"/>
      <c r="O134" s="647">
        <v>0</v>
      </c>
      <c r="P134" s="647">
        <v>0</v>
      </c>
      <c r="R134" s="362"/>
    </row>
    <row r="135" spans="2:18">
      <c r="B135" s="598" t="s">
        <v>375</v>
      </c>
      <c r="C135" s="619">
        <v>2041</v>
      </c>
      <c r="D135" s="620">
        <v>0</v>
      </c>
      <c r="E135" s="571">
        <v>0</v>
      </c>
      <c r="F135" s="648">
        <v>0</v>
      </c>
      <c r="G135" s="648">
        <v>0</v>
      </c>
      <c r="H135" s="572">
        <v>0</v>
      </c>
      <c r="I135" s="1005">
        <v>0</v>
      </c>
      <c r="J135" s="647">
        <v>0</v>
      </c>
      <c r="K135" s="647"/>
      <c r="L135" s="1006"/>
      <c r="M135" s="647">
        <v>0</v>
      </c>
      <c r="N135" s="1006"/>
      <c r="O135" s="647">
        <v>0</v>
      </c>
      <c r="P135" s="647">
        <v>0</v>
      </c>
      <c r="R135" s="38"/>
    </row>
    <row r="136" spans="2:18">
      <c r="B136" s="598" t="s">
        <v>375</v>
      </c>
      <c r="C136" s="619">
        <v>2042</v>
      </c>
      <c r="D136" s="620">
        <v>0</v>
      </c>
      <c r="E136" s="571">
        <v>0</v>
      </c>
      <c r="F136" s="648">
        <v>0</v>
      </c>
      <c r="G136" s="648">
        <v>0</v>
      </c>
      <c r="H136" s="572">
        <v>0</v>
      </c>
      <c r="I136" s="1005">
        <v>0</v>
      </c>
      <c r="J136" s="647">
        <v>0</v>
      </c>
      <c r="K136" s="647"/>
      <c r="L136" s="1006"/>
      <c r="M136" s="647">
        <v>0</v>
      </c>
      <c r="N136" s="1006"/>
      <c r="O136" s="647">
        <v>0</v>
      </c>
      <c r="P136" s="647">
        <v>0</v>
      </c>
      <c r="R136" s="38"/>
    </row>
    <row r="137" spans="2:18">
      <c r="B137" s="598" t="s">
        <v>375</v>
      </c>
      <c r="C137" s="619">
        <v>2043</v>
      </c>
      <c r="D137" s="620">
        <v>0</v>
      </c>
      <c r="E137" s="571">
        <v>0</v>
      </c>
      <c r="F137" s="648">
        <v>0</v>
      </c>
      <c r="G137" s="648">
        <v>0</v>
      </c>
      <c r="H137" s="572">
        <v>0</v>
      </c>
      <c r="I137" s="1005">
        <v>0</v>
      </c>
      <c r="J137" s="647">
        <v>0</v>
      </c>
      <c r="K137" s="647"/>
      <c r="L137" s="1006"/>
      <c r="M137" s="647">
        <v>0</v>
      </c>
      <c r="N137" s="1006"/>
      <c r="O137" s="647">
        <v>0</v>
      </c>
      <c r="P137" s="647">
        <v>0</v>
      </c>
      <c r="R137" s="38"/>
    </row>
    <row r="138" spans="2:18">
      <c r="B138" s="598" t="s">
        <v>375</v>
      </c>
      <c r="C138" s="619">
        <v>2044</v>
      </c>
      <c r="D138" s="620">
        <v>0</v>
      </c>
      <c r="E138" s="571">
        <v>0</v>
      </c>
      <c r="F138" s="648">
        <v>0</v>
      </c>
      <c r="G138" s="648">
        <v>0</v>
      </c>
      <c r="H138" s="572">
        <v>0</v>
      </c>
      <c r="I138" s="1005">
        <v>0</v>
      </c>
      <c r="J138" s="647">
        <v>0</v>
      </c>
      <c r="K138" s="647"/>
      <c r="L138" s="1006"/>
      <c r="M138" s="647">
        <v>0</v>
      </c>
      <c r="N138" s="1006"/>
      <c r="O138" s="647">
        <v>0</v>
      </c>
      <c r="P138" s="647">
        <v>0</v>
      </c>
      <c r="R138" s="38"/>
    </row>
    <row r="139" spans="2:18">
      <c r="B139" s="598" t="s">
        <v>375</v>
      </c>
      <c r="C139" s="619">
        <v>2045</v>
      </c>
      <c r="D139" s="620">
        <v>0</v>
      </c>
      <c r="E139" s="571">
        <v>0</v>
      </c>
      <c r="F139" s="648">
        <v>0</v>
      </c>
      <c r="G139" s="648">
        <v>0</v>
      </c>
      <c r="H139" s="572">
        <v>0</v>
      </c>
      <c r="I139" s="1005">
        <v>0</v>
      </c>
      <c r="J139" s="647">
        <v>0</v>
      </c>
      <c r="K139" s="647"/>
      <c r="L139" s="1006"/>
      <c r="M139" s="647">
        <v>0</v>
      </c>
      <c r="N139" s="1006"/>
      <c r="O139" s="647">
        <v>0</v>
      </c>
      <c r="P139" s="647">
        <v>0</v>
      </c>
      <c r="R139" s="38"/>
    </row>
    <row r="140" spans="2:18">
      <c r="B140" s="598" t="s">
        <v>375</v>
      </c>
      <c r="C140" s="619">
        <v>2046</v>
      </c>
      <c r="D140" s="620">
        <v>0</v>
      </c>
      <c r="E140" s="571">
        <v>0</v>
      </c>
      <c r="F140" s="648">
        <v>0</v>
      </c>
      <c r="G140" s="648">
        <v>0</v>
      </c>
      <c r="H140" s="572">
        <v>0</v>
      </c>
      <c r="I140" s="1005">
        <v>0</v>
      </c>
      <c r="J140" s="647">
        <v>0</v>
      </c>
      <c r="K140" s="647"/>
      <c r="L140" s="1006"/>
      <c r="M140" s="647">
        <v>0</v>
      </c>
      <c r="N140" s="1006"/>
      <c r="O140" s="647">
        <v>0</v>
      </c>
      <c r="P140" s="647">
        <v>0</v>
      </c>
      <c r="R140" s="38"/>
    </row>
    <row r="141" spans="2:18">
      <c r="B141" s="598" t="s">
        <v>375</v>
      </c>
      <c r="C141" s="619">
        <v>2047</v>
      </c>
      <c r="D141" s="620">
        <v>0</v>
      </c>
      <c r="E141" s="571">
        <v>0</v>
      </c>
      <c r="F141" s="648">
        <v>0</v>
      </c>
      <c r="G141" s="648">
        <v>0</v>
      </c>
      <c r="H141" s="572">
        <v>0</v>
      </c>
      <c r="I141" s="1005">
        <v>0</v>
      </c>
      <c r="J141" s="647">
        <v>0</v>
      </c>
      <c r="K141" s="647"/>
      <c r="L141" s="1006"/>
      <c r="M141" s="647">
        <v>0</v>
      </c>
      <c r="N141" s="1006"/>
      <c r="O141" s="647">
        <v>0</v>
      </c>
      <c r="P141" s="647">
        <v>0</v>
      </c>
      <c r="R141" s="38"/>
    </row>
    <row r="142" spans="2:18">
      <c r="B142" s="598" t="s">
        <v>375</v>
      </c>
      <c r="C142" s="619">
        <v>2048</v>
      </c>
      <c r="D142" s="620">
        <v>0</v>
      </c>
      <c r="E142" s="571">
        <v>0</v>
      </c>
      <c r="F142" s="648">
        <v>0</v>
      </c>
      <c r="G142" s="648">
        <v>0</v>
      </c>
      <c r="H142" s="572">
        <v>0</v>
      </c>
      <c r="I142" s="1005">
        <v>0</v>
      </c>
      <c r="J142" s="647">
        <v>0</v>
      </c>
      <c r="K142" s="647"/>
      <c r="L142" s="1006"/>
      <c r="M142" s="647">
        <v>0</v>
      </c>
      <c r="N142" s="1006"/>
      <c r="O142" s="647">
        <v>0</v>
      </c>
      <c r="P142" s="647">
        <v>0</v>
      </c>
      <c r="R142" s="38"/>
    </row>
    <row r="143" spans="2:18">
      <c r="B143" s="598" t="s">
        <v>375</v>
      </c>
      <c r="C143" s="619">
        <v>2049</v>
      </c>
      <c r="D143" s="620">
        <v>0</v>
      </c>
      <c r="E143" s="571">
        <v>0</v>
      </c>
      <c r="F143" s="648">
        <v>0</v>
      </c>
      <c r="G143" s="648">
        <v>0</v>
      </c>
      <c r="H143" s="572">
        <v>0</v>
      </c>
      <c r="I143" s="1005">
        <v>0</v>
      </c>
      <c r="J143" s="647">
        <v>0</v>
      </c>
      <c r="K143" s="647"/>
      <c r="L143" s="1006"/>
      <c r="M143" s="647">
        <v>0</v>
      </c>
      <c r="N143" s="1006"/>
      <c r="O143" s="647">
        <v>0</v>
      </c>
      <c r="P143" s="647">
        <v>0</v>
      </c>
      <c r="R143" s="38"/>
    </row>
    <row r="144" spans="2:18">
      <c r="B144" s="598" t="s">
        <v>375</v>
      </c>
      <c r="C144" s="619">
        <v>2050</v>
      </c>
      <c r="D144" s="620">
        <v>0</v>
      </c>
      <c r="E144" s="571">
        <v>0</v>
      </c>
      <c r="F144" s="648">
        <v>0</v>
      </c>
      <c r="G144" s="648">
        <v>0</v>
      </c>
      <c r="H144" s="572">
        <v>0</v>
      </c>
      <c r="I144" s="1005">
        <v>0</v>
      </c>
      <c r="J144" s="647">
        <v>0</v>
      </c>
      <c r="K144" s="647"/>
      <c r="L144" s="1006"/>
      <c r="M144" s="647">
        <v>0</v>
      </c>
      <c r="N144" s="1006"/>
      <c r="O144" s="647">
        <v>0</v>
      </c>
      <c r="P144" s="647">
        <v>0</v>
      </c>
      <c r="R144" s="38"/>
    </row>
    <row r="145" spans="2:18">
      <c r="B145" s="598" t="s">
        <v>375</v>
      </c>
      <c r="C145" s="619">
        <v>2051</v>
      </c>
      <c r="D145" s="620">
        <v>0</v>
      </c>
      <c r="E145" s="571">
        <v>0</v>
      </c>
      <c r="F145" s="648">
        <v>0</v>
      </c>
      <c r="G145" s="648">
        <v>0</v>
      </c>
      <c r="H145" s="572">
        <v>0</v>
      </c>
      <c r="I145" s="1005">
        <v>0</v>
      </c>
      <c r="J145" s="647">
        <v>0</v>
      </c>
      <c r="K145" s="647"/>
      <c r="L145" s="1006"/>
      <c r="M145" s="647">
        <v>0</v>
      </c>
      <c r="N145" s="1006"/>
      <c r="O145" s="647">
        <v>0</v>
      </c>
      <c r="P145" s="647">
        <v>0</v>
      </c>
      <c r="R145" s="38"/>
    </row>
    <row r="146" spans="2:18">
      <c r="B146" s="598" t="s">
        <v>375</v>
      </c>
      <c r="C146" s="619">
        <v>2052</v>
      </c>
      <c r="D146" s="620">
        <v>0</v>
      </c>
      <c r="E146" s="571">
        <v>0</v>
      </c>
      <c r="F146" s="648">
        <v>0</v>
      </c>
      <c r="G146" s="648">
        <v>0</v>
      </c>
      <c r="H146" s="572">
        <v>0</v>
      </c>
      <c r="I146" s="1005">
        <v>0</v>
      </c>
      <c r="J146" s="647">
        <v>0</v>
      </c>
      <c r="K146" s="647"/>
      <c r="L146" s="1006"/>
      <c r="M146" s="647">
        <v>0</v>
      </c>
      <c r="N146" s="1006"/>
      <c r="O146" s="647">
        <v>0</v>
      </c>
      <c r="P146" s="647">
        <v>0</v>
      </c>
      <c r="R146" s="38"/>
    </row>
    <row r="147" spans="2:18">
      <c r="B147" s="598" t="s">
        <v>375</v>
      </c>
      <c r="C147" s="619">
        <v>2053</v>
      </c>
      <c r="D147" s="620">
        <v>0</v>
      </c>
      <c r="E147" s="571">
        <v>0</v>
      </c>
      <c r="F147" s="648">
        <v>0</v>
      </c>
      <c r="G147" s="648">
        <v>0</v>
      </c>
      <c r="H147" s="572">
        <v>0</v>
      </c>
      <c r="I147" s="1005">
        <v>0</v>
      </c>
      <c r="J147" s="647">
        <v>0</v>
      </c>
      <c r="K147" s="647"/>
      <c r="L147" s="1006"/>
      <c r="M147" s="647">
        <v>0</v>
      </c>
      <c r="N147" s="1006"/>
      <c r="O147" s="647">
        <v>0</v>
      </c>
      <c r="P147" s="647">
        <v>0</v>
      </c>
      <c r="R147" s="38"/>
    </row>
    <row r="148" spans="2:18">
      <c r="B148" s="598" t="s">
        <v>375</v>
      </c>
      <c r="C148" s="619">
        <v>2054</v>
      </c>
      <c r="D148" s="620">
        <v>0</v>
      </c>
      <c r="E148" s="571">
        <v>0</v>
      </c>
      <c r="F148" s="648">
        <v>0</v>
      </c>
      <c r="G148" s="648">
        <v>0</v>
      </c>
      <c r="H148" s="572">
        <v>0</v>
      </c>
      <c r="I148" s="1005">
        <v>0</v>
      </c>
      <c r="J148" s="647">
        <v>0</v>
      </c>
      <c r="K148" s="647"/>
      <c r="L148" s="1006"/>
      <c r="M148" s="647">
        <v>0</v>
      </c>
      <c r="N148" s="1006"/>
      <c r="O148" s="647">
        <v>0</v>
      </c>
      <c r="P148" s="647">
        <v>0</v>
      </c>
      <c r="R148" s="38"/>
    </row>
    <row r="149" spans="2:18">
      <c r="B149" s="598" t="s">
        <v>375</v>
      </c>
      <c r="C149" s="619">
        <v>2055</v>
      </c>
      <c r="D149" s="620">
        <v>0</v>
      </c>
      <c r="E149" s="571">
        <v>0</v>
      </c>
      <c r="F149" s="648">
        <v>0</v>
      </c>
      <c r="G149" s="648">
        <v>0</v>
      </c>
      <c r="H149" s="572">
        <v>0</v>
      </c>
      <c r="I149" s="1005">
        <v>0</v>
      </c>
      <c r="J149" s="647">
        <v>0</v>
      </c>
      <c r="K149" s="647"/>
      <c r="L149" s="1006"/>
      <c r="M149" s="647">
        <v>0</v>
      </c>
      <c r="N149" s="1006"/>
      <c r="O149" s="647">
        <v>0</v>
      </c>
      <c r="P149" s="647">
        <v>0</v>
      </c>
      <c r="R149" s="38"/>
    </row>
    <row r="150" spans="2:18">
      <c r="B150" s="598" t="s">
        <v>375</v>
      </c>
      <c r="C150" s="619">
        <v>2056</v>
      </c>
      <c r="D150" s="620">
        <v>0</v>
      </c>
      <c r="E150" s="571">
        <v>0</v>
      </c>
      <c r="F150" s="648">
        <v>0</v>
      </c>
      <c r="G150" s="648">
        <v>0</v>
      </c>
      <c r="H150" s="572">
        <v>0</v>
      </c>
      <c r="I150" s="1005">
        <v>0</v>
      </c>
      <c r="J150" s="647">
        <v>0</v>
      </c>
      <c r="K150" s="647"/>
      <c r="L150" s="1006"/>
      <c r="M150" s="647">
        <v>0</v>
      </c>
      <c r="N150" s="1006"/>
      <c r="O150" s="647">
        <v>0</v>
      </c>
      <c r="P150" s="647">
        <v>0</v>
      </c>
      <c r="R150" s="38"/>
    </row>
    <row r="151" spans="2:18">
      <c r="B151" s="598" t="s">
        <v>375</v>
      </c>
      <c r="C151" s="619">
        <v>2057</v>
      </c>
      <c r="D151" s="620">
        <v>0</v>
      </c>
      <c r="E151" s="571">
        <v>0</v>
      </c>
      <c r="F151" s="648">
        <v>0</v>
      </c>
      <c r="G151" s="648">
        <v>0</v>
      </c>
      <c r="H151" s="572">
        <v>0</v>
      </c>
      <c r="I151" s="1005">
        <v>0</v>
      </c>
      <c r="J151" s="647">
        <v>0</v>
      </c>
      <c r="K151" s="647"/>
      <c r="L151" s="1006"/>
      <c r="M151" s="647">
        <v>0</v>
      </c>
      <c r="N151" s="1006"/>
      <c r="O151" s="647">
        <v>0</v>
      </c>
      <c r="P151" s="647">
        <v>0</v>
      </c>
      <c r="R151" s="38"/>
    </row>
    <row r="152" spans="2:18">
      <c r="B152" s="598" t="s">
        <v>375</v>
      </c>
      <c r="C152" s="619">
        <v>2058</v>
      </c>
      <c r="D152" s="620">
        <v>0</v>
      </c>
      <c r="E152" s="571">
        <v>0</v>
      </c>
      <c r="F152" s="648">
        <v>0</v>
      </c>
      <c r="G152" s="648">
        <v>0</v>
      </c>
      <c r="H152" s="572">
        <v>0</v>
      </c>
      <c r="I152" s="1005">
        <v>0</v>
      </c>
      <c r="J152" s="647">
        <v>0</v>
      </c>
      <c r="K152" s="647"/>
      <c r="L152" s="1006"/>
      <c r="M152" s="647">
        <v>0</v>
      </c>
      <c r="N152" s="1006"/>
      <c r="O152" s="647">
        <v>0</v>
      </c>
      <c r="P152" s="647">
        <v>0</v>
      </c>
      <c r="R152" s="38"/>
    </row>
    <row r="153" spans="2:18">
      <c r="B153" s="598" t="s">
        <v>375</v>
      </c>
      <c r="C153" s="619">
        <v>2059</v>
      </c>
      <c r="D153" s="620">
        <v>0</v>
      </c>
      <c r="E153" s="571">
        <v>0</v>
      </c>
      <c r="F153" s="648">
        <v>0</v>
      </c>
      <c r="G153" s="648">
        <v>0</v>
      </c>
      <c r="H153" s="572">
        <v>0</v>
      </c>
      <c r="I153" s="1005">
        <v>0</v>
      </c>
      <c r="J153" s="647">
        <v>0</v>
      </c>
      <c r="K153" s="647"/>
      <c r="L153" s="1006"/>
      <c r="M153" s="647">
        <v>0</v>
      </c>
      <c r="N153" s="1006"/>
      <c r="O153" s="647">
        <v>0</v>
      </c>
      <c r="P153" s="647">
        <v>0</v>
      </c>
      <c r="R153" s="38"/>
    </row>
    <row r="154" spans="2:18">
      <c r="B154" s="598" t="s">
        <v>375</v>
      </c>
      <c r="C154" s="619">
        <v>2060</v>
      </c>
      <c r="D154" s="620">
        <v>0</v>
      </c>
      <c r="E154" s="571">
        <v>0</v>
      </c>
      <c r="F154" s="648">
        <v>0</v>
      </c>
      <c r="G154" s="648">
        <v>0</v>
      </c>
      <c r="H154" s="572">
        <v>0</v>
      </c>
      <c r="I154" s="1005">
        <v>0</v>
      </c>
      <c r="J154" s="647">
        <v>0</v>
      </c>
      <c r="K154" s="647"/>
      <c r="L154" s="1006"/>
      <c r="M154" s="647">
        <v>0</v>
      </c>
      <c r="N154" s="1006"/>
      <c r="O154" s="647">
        <v>0</v>
      </c>
      <c r="P154" s="647">
        <v>0</v>
      </c>
      <c r="R154" s="38"/>
    </row>
    <row r="155" spans="2:18">
      <c r="B155" s="598" t="s">
        <v>375</v>
      </c>
      <c r="C155" s="619">
        <v>2061</v>
      </c>
      <c r="D155" s="620">
        <v>0</v>
      </c>
      <c r="E155" s="571">
        <v>0</v>
      </c>
      <c r="F155" s="648">
        <v>0</v>
      </c>
      <c r="G155" s="648">
        <v>0</v>
      </c>
      <c r="H155" s="572">
        <v>0</v>
      </c>
      <c r="I155" s="1005">
        <v>0</v>
      </c>
      <c r="J155" s="647">
        <v>0</v>
      </c>
      <c r="K155" s="647"/>
      <c r="L155" s="1006"/>
      <c r="M155" s="647">
        <v>0</v>
      </c>
      <c r="N155" s="1006"/>
      <c r="O155" s="647">
        <v>0</v>
      </c>
      <c r="P155" s="647">
        <v>0</v>
      </c>
      <c r="R155" s="38"/>
    </row>
    <row r="156" spans="2:18">
      <c r="B156" s="598" t="s">
        <v>375</v>
      </c>
      <c r="C156" s="619">
        <v>2062</v>
      </c>
      <c r="D156" s="620">
        <v>0</v>
      </c>
      <c r="E156" s="571">
        <v>0</v>
      </c>
      <c r="F156" s="648">
        <v>0</v>
      </c>
      <c r="G156" s="648">
        <v>0</v>
      </c>
      <c r="H156" s="572">
        <v>0</v>
      </c>
      <c r="I156" s="1005">
        <v>0</v>
      </c>
      <c r="J156" s="647">
        <v>0</v>
      </c>
      <c r="K156" s="647"/>
      <c r="L156" s="1006"/>
      <c r="M156" s="647">
        <v>0</v>
      </c>
      <c r="N156" s="1006"/>
      <c r="O156" s="647">
        <v>0</v>
      </c>
      <c r="P156" s="647">
        <v>0</v>
      </c>
      <c r="R156" s="38"/>
    </row>
    <row r="157" spans="2:18">
      <c r="B157" s="598" t="s">
        <v>375</v>
      </c>
      <c r="C157" s="619">
        <v>2063</v>
      </c>
      <c r="D157" s="620">
        <v>0</v>
      </c>
      <c r="E157" s="571">
        <v>0</v>
      </c>
      <c r="F157" s="648">
        <v>0</v>
      </c>
      <c r="G157" s="648">
        <v>0</v>
      </c>
      <c r="H157" s="572">
        <v>0</v>
      </c>
      <c r="I157" s="1005">
        <v>0</v>
      </c>
      <c r="J157" s="647">
        <v>0</v>
      </c>
      <c r="K157" s="647"/>
      <c r="L157" s="1006"/>
      <c r="M157" s="647">
        <v>0</v>
      </c>
      <c r="N157" s="1006"/>
      <c r="O157" s="647">
        <v>0</v>
      </c>
      <c r="P157" s="647">
        <v>0</v>
      </c>
      <c r="R157" s="38"/>
    </row>
    <row r="158" spans="2:18">
      <c r="B158" s="598" t="s">
        <v>375</v>
      </c>
      <c r="C158" s="619">
        <v>2064</v>
      </c>
      <c r="D158" s="620">
        <v>0</v>
      </c>
      <c r="E158" s="571">
        <v>0</v>
      </c>
      <c r="F158" s="648">
        <v>0</v>
      </c>
      <c r="G158" s="648">
        <v>0</v>
      </c>
      <c r="H158" s="572">
        <v>0</v>
      </c>
      <c r="I158" s="1005">
        <v>0</v>
      </c>
      <c r="J158" s="647">
        <v>0</v>
      </c>
      <c r="K158" s="647"/>
      <c r="L158" s="1006"/>
      <c r="M158" s="647">
        <v>0</v>
      </c>
      <c r="N158" s="1006"/>
      <c r="O158" s="647">
        <v>0</v>
      </c>
      <c r="P158" s="647">
        <v>0</v>
      </c>
      <c r="R158" s="38"/>
    </row>
    <row r="159" spans="2:18">
      <c r="B159" s="598" t="s">
        <v>375</v>
      </c>
      <c r="C159" s="619">
        <v>2065</v>
      </c>
      <c r="D159" s="620">
        <v>0</v>
      </c>
      <c r="E159" s="571">
        <v>0</v>
      </c>
      <c r="F159" s="648">
        <v>0</v>
      </c>
      <c r="G159" s="648">
        <v>0</v>
      </c>
      <c r="H159" s="572">
        <v>0</v>
      </c>
      <c r="I159" s="1005">
        <v>0</v>
      </c>
      <c r="J159" s="647">
        <v>0</v>
      </c>
      <c r="K159" s="647"/>
      <c r="L159" s="1006"/>
      <c r="M159" s="647">
        <v>0</v>
      </c>
      <c r="N159" s="1006"/>
      <c r="O159" s="647">
        <v>0</v>
      </c>
      <c r="P159" s="647">
        <v>0</v>
      </c>
      <c r="R159" s="38"/>
    </row>
    <row r="160" spans="2:18">
      <c r="B160" s="598" t="s">
        <v>375</v>
      </c>
      <c r="C160" s="619">
        <v>2066</v>
      </c>
      <c r="D160" s="620">
        <v>0</v>
      </c>
      <c r="E160" s="571">
        <v>0</v>
      </c>
      <c r="F160" s="648">
        <v>0</v>
      </c>
      <c r="G160" s="648">
        <v>0</v>
      </c>
      <c r="H160" s="572">
        <v>0</v>
      </c>
      <c r="I160" s="1005">
        <v>0</v>
      </c>
      <c r="J160" s="647">
        <v>0</v>
      </c>
      <c r="K160" s="647"/>
      <c r="L160" s="1006"/>
      <c r="M160" s="647">
        <v>0</v>
      </c>
      <c r="N160" s="1006"/>
      <c r="O160" s="647">
        <v>0</v>
      </c>
      <c r="P160" s="647">
        <v>0</v>
      </c>
      <c r="R160" s="38"/>
    </row>
    <row r="161" spans="2:18">
      <c r="B161" s="598" t="s">
        <v>375</v>
      </c>
      <c r="C161" s="619">
        <v>2067</v>
      </c>
      <c r="D161" s="620">
        <v>0</v>
      </c>
      <c r="E161" s="571">
        <v>0</v>
      </c>
      <c r="F161" s="648">
        <v>0</v>
      </c>
      <c r="G161" s="648">
        <v>0</v>
      </c>
      <c r="H161" s="572">
        <v>0</v>
      </c>
      <c r="I161" s="1005">
        <v>0</v>
      </c>
      <c r="J161" s="647">
        <v>0</v>
      </c>
      <c r="K161" s="647"/>
      <c r="L161" s="1006"/>
      <c r="M161" s="647">
        <v>0</v>
      </c>
      <c r="N161" s="1006"/>
      <c r="O161" s="647">
        <v>0</v>
      </c>
      <c r="P161" s="647">
        <v>0</v>
      </c>
      <c r="R161" s="38"/>
    </row>
    <row r="162" spans="2:18" ht="13.5" thickBot="1">
      <c r="B162" s="598" t="s">
        <v>375</v>
      </c>
      <c r="C162" s="621">
        <v>2068</v>
      </c>
      <c r="D162" s="652">
        <v>0</v>
      </c>
      <c r="E162" s="983">
        <v>0</v>
      </c>
      <c r="F162" s="649">
        <v>0</v>
      </c>
      <c r="G162" s="649">
        <v>0</v>
      </c>
      <c r="H162" s="575">
        <v>0</v>
      </c>
      <c r="I162" s="1007">
        <v>0</v>
      </c>
      <c r="J162" s="650">
        <v>0</v>
      </c>
      <c r="K162" s="647"/>
      <c r="L162" s="1008"/>
      <c r="M162" s="650">
        <v>0</v>
      </c>
      <c r="N162" s="1008"/>
      <c r="O162" s="650">
        <v>0</v>
      </c>
      <c r="P162" s="650">
        <v>0</v>
      </c>
      <c r="R162" s="38"/>
    </row>
    <row r="163" spans="2:18">
      <c r="B163" s="588"/>
      <c r="C163" s="620" t="s">
        <v>529</v>
      </c>
      <c r="D163" s="526"/>
      <c r="E163" s="526">
        <v>1035552</v>
      </c>
      <c r="F163" s="526"/>
      <c r="G163" s="526"/>
      <c r="H163" s="526">
        <v>4670143.8157202108</v>
      </c>
      <c r="I163" s="526">
        <v>4670143.8157202108</v>
      </c>
      <c r="J163" s="526">
        <v>0</v>
      </c>
      <c r="K163" s="526"/>
      <c r="L163" s="526"/>
      <c r="M163" s="526"/>
      <c r="N163" s="526"/>
      <c r="O163" s="526"/>
      <c r="P163" s="588"/>
      <c r="R163" s="38"/>
    </row>
    <row r="164" spans="2:18">
      <c r="B164" s="588"/>
      <c r="C164" s="588" t="s">
        <v>1143</v>
      </c>
      <c r="D164" s="598"/>
      <c r="E164" s="588"/>
      <c r="F164" s="588"/>
      <c r="G164" s="588"/>
      <c r="H164" s="588"/>
      <c r="I164" s="589"/>
      <c r="J164" s="589"/>
      <c r="K164" s="526"/>
      <c r="L164" s="589"/>
      <c r="M164" s="589"/>
      <c r="N164" s="589"/>
      <c r="O164" s="589"/>
      <c r="P164" s="588"/>
      <c r="R164" s="38"/>
    </row>
    <row r="165" spans="2:18">
      <c r="B165" s="588"/>
      <c r="C165" s="588"/>
      <c r="D165" s="598"/>
      <c r="E165" s="588"/>
      <c r="F165" s="588"/>
      <c r="G165" s="588"/>
      <c r="H165" s="588"/>
      <c r="I165" s="589"/>
      <c r="J165" s="589"/>
      <c r="K165" s="526"/>
      <c r="L165" s="589"/>
      <c r="M165" s="589"/>
      <c r="N165" s="589"/>
      <c r="O165" s="589"/>
      <c r="P165" s="588"/>
      <c r="R165" s="38"/>
    </row>
    <row r="166" spans="2:18">
      <c r="B166" s="588"/>
      <c r="C166" s="1009" t="s">
        <v>1144</v>
      </c>
      <c r="D166" s="598"/>
      <c r="E166" s="588"/>
      <c r="F166" s="588"/>
      <c r="G166" s="588"/>
      <c r="H166" s="588"/>
      <c r="I166" s="589"/>
      <c r="J166" s="589"/>
      <c r="K166" s="526"/>
      <c r="L166" s="589"/>
      <c r="M166" s="589"/>
      <c r="N166" s="589"/>
      <c r="O166" s="589"/>
      <c r="P166" s="588"/>
      <c r="R166" s="38"/>
    </row>
    <row r="167" spans="2:18">
      <c r="B167" s="588"/>
      <c r="C167" s="607" t="s">
        <v>530</v>
      </c>
      <c r="D167" s="620"/>
      <c r="E167" s="620"/>
      <c r="F167" s="620"/>
      <c r="G167" s="620"/>
      <c r="H167" s="526"/>
      <c r="I167" s="526"/>
      <c r="J167" s="622"/>
      <c r="K167" s="622"/>
      <c r="L167" s="622"/>
      <c r="M167" s="622"/>
      <c r="N167" s="622"/>
      <c r="O167" s="622"/>
      <c r="P167" s="588"/>
      <c r="R167" s="38"/>
    </row>
    <row r="168" spans="2:18">
      <c r="B168" s="588"/>
      <c r="C168" s="607" t="s">
        <v>531</v>
      </c>
      <c r="D168" s="620"/>
      <c r="E168" s="620"/>
      <c r="F168" s="620"/>
      <c r="G168" s="620"/>
      <c r="H168" s="526"/>
      <c r="I168" s="526"/>
      <c r="J168" s="622"/>
      <c r="K168" s="622"/>
      <c r="L168" s="622"/>
      <c r="M168" s="622"/>
      <c r="N168" s="622"/>
      <c r="O168" s="622"/>
      <c r="P168" s="588"/>
    </row>
  </sheetData>
  <mergeCells count="8">
    <mergeCell ref="L6:P8"/>
    <mergeCell ref="L13:P14"/>
    <mergeCell ref="L9:P9"/>
    <mergeCell ref="C6:I6"/>
    <mergeCell ref="A1:I1"/>
    <mergeCell ref="A2:I2"/>
    <mergeCell ref="A3:I3"/>
    <mergeCell ref="A4:I4"/>
  </mergeCells>
  <phoneticPr fontId="0" type="noConversion"/>
  <printOptions horizontalCentered="1"/>
  <pageMargins left="0.25" right="0.25" top="0.75" bottom="0.25" header="0.25" footer="0.5"/>
  <pageSetup scale="41" fitToHeight="5" orientation="landscape" r:id="rId1"/>
  <headerFooter alignWithMargins="0">
    <oddHeader xml:space="preserve">&amp;R&amp;12AEP - SPP Formula Rate
TCOS - WS G
Page: &amp;P of &amp;N&amp;16
</oddHeader>
    <oddFooter xml:space="preserve">&amp;C &amp;R </oddFooter>
  </headerFooter>
  <rowBreaks count="1" manualBreakCount="1">
    <brk id="88" max="15"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98"/>
  <sheetViews>
    <sheetView showWhiteSpace="0" topLeftCell="A25" zoomScale="70" zoomScaleNormal="70" zoomScaleSheetLayoutView="75" zoomScalePageLayoutView="80" workbookViewId="0">
      <selection activeCell="O34" sqref="O34"/>
    </sheetView>
  </sheetViews>
  <sheetFormatPr defaultRowHeight="15"/>
  <cols>
    <col min="1" max="1" width="4.7109375" style="244" customWidth="1"/>
    <col min="2" max="2" width="7.42578125" style="244" customWidth="1"/>
    <col min="3" max="6" width="12.7109375" style="244" customWidth="1"/>
    <col min="7" max="7" width="17.140625" style="244" customWidth="1"/>
    <col min="8" max="9" width="12.7109375" style="244" customWidth="1"/>
    <col min="10" max="10" width="12" style="244" customWidth="1"/>
    <col min="11" max="11" width="16.42578125" style="244" bestFit="1" customWidth="1"/>
    <col min="12" max="12" width="22.140625" style="244" bestFit="1" customWidth="1"/>
    <col min="13" max="13" width="22.140625" style="273" bestFit="1" customWidth="1"/>
    <col min="14" max="14" width="8.42578125" style="244" customWidth="1"/>
    <col min="15" max="38" width="12.7109375" style="244" customWidth="1"/>
    <col min="39" max="16384" width="9.140625" style="244"/>
  </cols>
  <sheetData>
    <row r="1" spans="1:22" ht="15.75">
      <c r="N1" s="423"/>
    </row>
    <row r="2" spans="1:22">
      <c r="A2" s="1556" t="str">
        <f>+'PSO TCOS'!F3</f>
        <v xml:space="preserve">AEP West SPP Member Operating Companies </v>
      </c>
      <c r="B2" s="1556"/>
      <c r="C2" s="1556"/>
      <c r="D2" s="1556"/>
      <c r="E2" s="1556"/>
      <c r="F2" s="1556"/>
      <c r="G2" s="1556"/>
      <c r="H2" s="1556"/>
      <c r="I2" s="1556"/>
      <c r="J2" s="1556"/>
      <c r="K2" s="1556"/>
      <c r="L2" s="1556"/>
      <c r="M2" s="1556"/>
      <c r="N2" s="1556"/>
    </row>
    <row r="3" spans="1:22">
      <c r="A3" s="1594" t="str">
        <f>+'PSO WS A RB Support '!A2:G2</f>
        <v xml:space="preserve">Actual / Projected 2019 Rate Year Cost of Service Formula Rate </v>
      </c>
      <c r="B3" s="1553"/>
      <c r="C3" s="1553"/>
      <c r="D3" s="1553"/>
      <c r="E3" s="1553"/>
      <c r="F3" s="1553"/>
      <c r="G3" s="1553"/>
      <c r="H3" s="1553"/>
      <c r="I3" s="1553"/>
      <c r="J3" s="1553"/>
      <c r="K3" s="1553"/>
      <c r="L3" s="1553"/>
      <c r="M3" s="1553"/>
      <c r="N3" s="1553"/>
    </row>
    <row r="4" spans="1:22" ht="15.75" customHeight="1">
      <c r="A4" s="1553" t="s">
        <v>1094</v>
      </c>
      <c r="B4" s="1553"/>
      <c r="C4" s="1553"/>
      <c r="D4" s="1553"/>
      <c r="E4" s="1553"/>
      <c r="F4" s="1553"/>
      <c r="G4" s="1553"/>
      <c r="H4" s="1553"/>
      <c r="I4" s="1553"/>
      <c r="J4" s="1553"/>
      <c r="K4" s="1553"/>
      <c r="L4" s="1553"/>
      <c r="M4" s="1553"/>
      <c r="N4" s="1553"/>
      <c r="O4" s="420"/>
      <c r="P4" s="420"/>
      <c r="Q4" s="420"/>
      <c r="R4" s="420"/>
      <c r="S4" s="420"/>
      <c r="T4" s="420"/>
      <c r="U4" s="420"/>
    </row>
    <row r="5" spans="1:22" ht="15.75">
      <c r="A5" s="1574" t="str">
        <f>+'PSO TCOS'!F7</f>
        <v>PUBLIC SERVICE COMPANY OF OKLAHOMA</v>
      </c>
      <c r="B5" s="1574"/>
      <c r="C5" s="1574"/>
      <c r="D5" s="1574"/>
      <c r="E5" s="1574"/>
      <c r="F5" s="1574"/>
      <c r="G5" s="1574"/>
      <c r="H5" s="1574"/>
      <c r="I5" s="1574"/>
      <c r="J5" s="1574"/>
      <c r="K5" s="1574"/>
      <c r="L5" s="1574"/>
      <c r="M5" s="1574"/>
      <c r="N5" s="1574"/>
    </row>
    <row r="6" spans="1:22" ht="26.25">
      <c r="A6" s="229"/>
      <c r="B6" s="233"/>
      <c r="C6" s="233"/>
      <c r="D6" s="233"/>
      <c r="E6" s="233"/>
      <c r="F6" s="233"/>
      <c r="G6" s="233"/>
      <c r="H6" s="233"/>
      <c r="I6" s="233"/>
      <c r="J6" s="233"/>
      <c r="K6" s="233"/>
      <c r="L6" s="344"/>
      <c r="M6" s="424"/>
    </row>
    <row r="7" spans="1:22" ht="20.25">
      <c r="A7" s="1011"/>
      <c r="B7" s="233"/>
      <c r="C7" s="233"/>
      <c r="D7" s="233"/>
      <c r="E7" s="233"/>
      <c r="F7" s="233"/>
      <c r="G7" s="233"/>
      <c r="H7" s="233"/>
      <c r="I7" s="233"/>
      <c r="J7" s="233"/>
      <c r="K7" s="233"/>
      <c r="L7" s="233"/>
      <c r="M7" s="425"/>
    </row>
    <row r="8" spans="1:22" ht="20.25">
      <c r="A8" s="233"/>
      <c r="B8" s="233"/>
      <c r="C8" s="231"/>
      <c r="D8" s="231"/>
      <c r="E8" s="231"/>
      <c r="F8" s="231"/>
      <c r="G8" s="231"/>
      <c r="H8" s="231"/>
      <c r="I8" s="231"/>
      <c r="J8" s="231"/>
      <c r="K8" s="426" t="s">
        <v>356</v>
      </c>
      <c r="L8" s="426" t="s">
        <v>247</v>
      </c>
      <c r="M8" s="427"/>
      <c r="N8" s="198"/>
      <c r="P8" s="198"/>
      <c r="R8" s="198"/>
      <c r="S8" s="198"/>
      <c r="T8" s="198"/>
      <c r="U8" s="38"/>
      <c r="V8" s="38"/>
    </row>
    <row r="9" spans="1:22" ht="20.25">
      <c r="A9" s="231"/>
      <c r="B9" s="1012" t="s">
        <v>1092</v>
      </c>
      <c r="C9" s="231"/>
      <c r="D9" s="231"/>
      <c r="E9" s="231"/>
      <c r="F9" s="231"/>
      <c r="G9" s="231"/>
      <c r="H9" s="231"/>
      <c r="I9" s="231"/>
      <c r="J9" s="233"/>
      <c r="K9" s="426" t="s">
        <v>357</v>
      </c>
      <c r="L9" s="426" t="s">
        <v>292</v>
      </c>
      <c r="M9" s="426" t="s">
        <v>292</v>
      </c>
      <c r="N9" s="198"/>
      <c r="O9" s="198"/>
      <c r="P9" s="198"/>
      <c r="Q9" s="198"/>
      <c r="R9" s="198"/>
      <c r="S9" s="198"/>
      <c r="T9" s="428"/>
      <c r="U9" s="38"/>
      <c r="V9" s="38"/>
    </row>
    <row r="10" spans="1:22" ht="20.25">
      <c r="A10" s="231"/>
      <c r="B10" s="230"/>
      <c r="C10" s="233"/>
      <c r="D10" s="231"/>
      <c r="E10" s="231"/>
      <c r="F10" s="231"/>
      <c r="G10" s="231"/>
      <c r="H10" s="231"/>
      <c r="I10" s="231"/>
      <c r="J10" s="233"/>
      <c r="K10" s="231"/>
      <c r="L10" s="231"/>
      <c r="M10" s="429"/>
      <c r="N10" s="198"/>
      <c r="O10" s="198"/>
      <c r="P10" s="198"/>
      <c r="Q10" s="198"/>
      <c r="R10" s="198"/>
      <c r="S10" s="198"/>
      <c r="T10" s="428"/>
      <c r="U10" s="38"/>
      <c r="V10" s="38"/>
    </row>
    <row r="11" spans="1:22" ht="20.25" customHeight="1">
      <c r="A11" s="231"/>
      <c r="B11" s="1013">
        <v>1</v>
      </c>
      <c r="C11" s="883" t="s">
        <v>1146</v>
      </c>
      <c r="D11" s="233"/>
      <c r="E11" s="233"/>
      <c r="F11" s="231"/>
      <c r="G11" s="233"/>
      <c r="H11" s="233"/>
      <c r="I11" s="231"/>
      <c r="J11" s="233"/>
      <c r="K11" s="1014">
        <f>+'[4]Inputs 2019'!E247</f>
        <v>2627160</v>
      </c>
      <c r="L11" s="430">
        <f>+K11-M11</f>
        <v>2627160</v>
      </c>
      <c r="M11" s="1014">
        <f>+'[4]Inputs 2019'!F247</f>
        <v>0</v>
      </c>
      <c r="N11" s="38"/>
      <c r="O11" s="38"/>
      <c r="P11" s="38"/>
      <c r="Q11" s="38"/>
      <c r="R11" s="38"/>
      <c r="S11" s="38"/>
      <c r="T11" s="198"/>
      <c r="U11" s="38"/>
      <c r="V11" s="38"/>
    </row>
    <row r="12" spans="1:22" ht="20.25" customHeight="1">
      <c r="A12" s="231"/>
      <c r="B12" s="1013"/>
      <c r="C12" s="230"/>
      <c r="D12" s="233"/>
      <c r="E12" s="233"/>
      <c r="F12" s="231"/>
      <c r="G12" s="233"/>
      <c r="H12" s="233"/>
      <c r="I12" s="231"/>
      <c r="J12" s="233"/>
      <c r="K12" s="835"/>
      <c r="L12" s="81"/>
      <c r="M12" s="81"/>
      <c r="N12" s="38"/>
      <c r="O12" s="38"/>
      <c r="P12" s="38"/>
      <c r="Q12" s="38"/>
      <c r="R12" s="38"/>
      <c r="S12" s="38"/>
      <c r="T12" s="198"/>
      <c r="U12" s="38"/>
      <c r="V12" s="38"/>
    </row>
    <row r="13" spans="1:22" ht="19.5">
      <c r="A13" s="231"/>
      <c r="B13" s="1013">
        <f>+B11+1</f>
        <v>2</v>
      </c>
      <c r="C13" s="884" t="s">
        <v>1111</v>
      </c>
      <c r="D13" s="233"/>
      <c r="E13" s="233"/>
      <c r="F13" s="231"/>
      <c r="G13" s="233"/>
      <c r="H13" s="81"/>
      <c r="I13" s="231"/>
      <c r="J13" s="233"/>
      <c r="K13" s="1014">
        <f>+'[4]Inputs 2019'!E249</f>
        <v>306000</v>
      </c>
      <c r="L13" s="430">
        <f>+K13-M13</f>
        <v>306000</v>
      </c>
      <c r="M13" s="1014">
        <f>+'[4]Inputs 2019'!F249</f>
        <v>0</v>
      </c>
      <c r="N13" s="38"/>
      <c r="O13" s="38"/>
      <c r="P13" s="38"/>
      <c r="Q13" s="38"/>
      <c r="R13" s="38"/>
      <c r="S13" s="38"/>
      <c r="T13" s="38"/>
      <c r="U13" s="38"/>
      <c r="V13" s="38"/>
    </row>
    <row r="14" spans="1:22" ht="20.25">
      <c r="A14" s="231"/>
      <c r="B14" s="1013"/>
      <c r="C14" s="230"/>
      <c r="D14" s="233"/>
      <c r="E14" s="233"/>
      <c r="F14" s="231"/>
      <c r="G14" s="233"/>
      <c r="H14" s="81"/>
      <c r="I14" s="231"/>
      <c r="J14" s="231"/>
      <c r="K14" s="835"/>
      <c r="L14" s="231"/>
      <c r="M14" s="82"/>
      <c r="N14" s="38"/>
      <c r="O14" s="38"/>
      <c r="P14" s="38"/>
      <c r="Q14" s="38"/>
      <c r="R14" s="38"/>
      <c r="S14" s="38"/>
      <c r="T14" s="38"/>
      <c r="U14" s="38"/>
      <c r="V14" s="38"/>
    </row>
    <row r="15" spans="1:22" ht="18">
      <c r="A15" s="231"/>
      <c r="C15" s="883" t="s">
        <v>1147</v>
      </c>
      <c r="D15" s="233"/>
      <c r="E15" s="233"/>
      <c r="F15" s="231"/>
      <c r="G15" s="233"/>
      <c r="H15" s="233"/>
      <c r="I15" s="231"/>
      <c r="J15" s="231"/>
      <c r="K15" s="835"/>
      <c r="L15" s="430"/>
      <c r="M15" s="1001"/>
      <c r="N15" s="38"/>
      <c r="O15" s="38"/>
      <c r="P15" s="38"/>
      <c r="Q15" s="38"/>
      <c r="R15" s="38"/>
      <c r="S15" s="38"/>
      <c r="T15" s="38"/>
      <c r="U15" s="38"/>
      <c r="V15" s="38"/>
    </row>
    <row r="16" spans="1:22" ht="19.5">
      <c r="A16" s="231"/>
      <c r="B16" s="1013"/>
      <c r="C16" s="1015"/>
      <c r="D16" s="427" t="s">
        <v>115</v>
      </c>
      <c r="E16" s="233"/>
      <c r="F16" s="231"/>
      <c r="G16" s="232"/>
      <c r="H16" s="81"/>
      <c r="I16" s="231"/>
      <c r="J16" s="231"/>
      <c r="K16" s="1014">
        <f>+'[4]Inputs 2019'!E252</f>
        <v>3742538.1772799902</v>
      </c>
      <c r="L16" s="430">
        <f>+K16-M16</f>
        <v>3440336.6272799904</v>
      </c>
      <c r="M16" s="1014">
        <f>+'[4]Inputs 2019'!F252</f>
        <v>302201.54999999993</v>
      </c>
      <c r="N16" s="38"/>
      <c r="O16" s="38"/>
      <c r="P16" s="38"/>
      <c r="Q16" s="38"/>
      <c r="R16" s="38"/>
      <c r="S16" s="38"/>
      <c r="T16" s="38"/>
      <c r="U16" s="38"/>
      <c r="V16" s="38"/>
    </row>
    <row r="17" spans="1:22" ht="19.5">
      <c r="A17" s="231"/>
      <c r="B17" s="1013"/>
      <c r="C17" s="1016"/>
      <c r="D17" s="427" t="s">
        <v>116</v>
      </c>
      <c r="E17" s="233"/>
      <c r="F17" s="231"/>
      <c r="G17" s="232"/>
      <c r="H17" s="81"/>
      <c r="I17" s="231"/>
      <c r="J17" s="231"/>
      <c r="K17" s="1014">
        <f>+'[4]Inputs 2019'!E253</f>
        <v>159359.99999999898</v>
      </c>
      <c r="L17" s="430">
        <f>+K17-M17</f>
        <v>47739.479999999006</v>
      </c>
      <c r="M17" s="1014">
        <f>+'[4]Inputs 2019'!F253</f>
        <v>111620.51999999997</v>
      </c>
      <c r="N17" s="38"/>
      <c r="O17" s="38"/>
      <c r="P17" s="38"/>
      <c r="Q17" s="38"/>
      <c r="R17" s="38"/>
      <c r="S17" s="38"/>
      <c r="T17" s="38"/>
      <c r="U17" s="38"/>
      <c r="V17" s="38"/>
    </row>
    <row r="18" spans="1:22" ht="19.5">
      <c r="A18" s="231"/>
      <c r="B18" s="1013"/>
      <c r="C18" s="1016"/>
      <c r="D18" s="427" t="s">
        <v>459</v>
      </c>
      <c r="E18" s="233"/>
      <c r="F18" s="231"/>
      <c r="G18" s="232"/>
      <c r="H18" s="81"/>
      <c r="I18" s="231"/>
      <c r="J18" s="231"/>
      <c r="K18" s="1014">
        <f>+'[4]Inputs 2019'!E254</f>
        <v>2700000</v>
      </c>
      <c r="L18" s="430">
        <f>+K18-M18</f>
        <v>2646735.48</v>
      </c>
      <c r="M18" s="1014">
        <f>+'[4]Inputs 2019'!F254</f>
        <v>53264.52</v>
      </c>
      <c r="O18" s="38"/>
      <c r="P18" s="38"/>
      <c r="Q18" s="38"/>
      <c r="R18" s="38"/>
      <c r="S18" s="38"/>
      <c r="T18" s="38"/>
      <c r="U18" s="38"/>
      <c r="V18" s="38"/>
    </row>
    <row r="19" spans="1:22" ht="19.5">
      <c r="A19" s="231"/>
      <c r="B19" s="1013"/>
      <c r="C19" s="1016"/>
      <c r="D19" s="431" t="s">
        <v>117</v>
      </c>
      <c r="E19" s="233"/>
      <c r="F19" s="231"/>
      <c r="G19" s="232"/>
      <c r="H19" s="81"/>
      <c r="I19" s="231"/>
      <c r="J19" s="231"/>
      <c r="K19" s="1014">
        <f>+'[4]Inputs 2019'!E255</f>
        <v>49999.999999999898</v>
      </c>
      <c r="L19" s="430">
        <f>+K19-M19</f>
        <v>49999.999999999898</v>
      </c>
      <c r="M19" s="1014"/>
      <c r="N19" s="38"/>
      <c r="O19" s="38"/>
      <c r="P19" s="38"/>
      <c r="Q19" s="38"/>
      <c r="R19" s="38"/>
      <c r="S19" s="38"/>
      <c r="T19" s="38"/>
      <c r="U19" s="38"/>
      <c r="V19" s="38"/>
    </row>
    <row r="20" spans="1:22" ht="19.5">
      <c r="A20" s="231"/>
      <c r="B20" s="1013"/>
      <c r="C20" s="1016"/>
      <c r="D20" s="431" t="s">
        <v>554</v>
      </c>
      <c r="E20" s="233"/>
      <c r="F20" s="231"/>
      <c r="G20" s="232"/>
      <c r="H20" s="81"/>
      <c r="I20" s="231"/>
      <c r="J20" s="231"/>
      <c r="K20" s="1014"/>
      <c r="L20" s="430"/>
      <c r="M20" s="1014"/>
      <c r="N20" s="38"/>
      <c r="O20" s="38"/>
      <c r="P20" s="38"/>
      <c r="Q20" s="38"/>
      <c r="R20" s="38"/>
      <c r="S20" s="38"/>
      <c r="T20" s="38"/>
      <c r="U20" s="38"/>
      <c r="V20" s="38"/>
    </row>
    <row r="21" spans="1:22" ht="19.5">
      <c r="A21" s="231"/>
      <c r="B21" s="1013">
        <f>+B13+1</f>
        <v>3</v>
      </c>
      <c r="C21" s="1016"/>
      <c r="D21" s="427" t="s">
        <v>553</v>
      </c>
      <c r="E21" s="233"/>
      <c r="F21" s="231"/>
      <c r="G21" s="232"/>
      <c r="H21" s="81"/>
      <c r="I21" s="231"/>
      <c r="J21" s="231"/>
      <c r="K21" s="593">
        <f>SUM(K16:K20)</f>
        <v>6651898.1772799892</v>
      </c>
      <c r="L21" s="430"/>
      <c r="M21" s="593">
        <f>SUM(M16:M20)</f>
        <v>467086.58999999991</v>
      </c>
      <c r="N21" s="38"/>
      <c r="O21" s="38"/>
      <c r="P21" s="38"/>
      <c r="Q21" s="38"/>
      <c r="R21" s="38"/>
      <c r="S21" s="38"/>
      <c r="T21" s="38"/>
      <c r="U21" s="38"/>
      <c r="V21" s="38"/>
    </row>
    <row r="22" spans="1:22" ht="19.5">
      <c r="A22" s="231"/>
      <c r="B22" s="1013"/>
      <c r="C22" s="81"/>
      <c r="D22" s="233"/>
      <c r="E22" s="233"/>
      <c r="F22" s="231"/>
      <c r="G22" s="232"/>
      <c r="H22" s="81"/>
      <c r="I22" s="231"/>
      <c r="J22" s="231"/>
      <c r="K22" s="231"/>
      <c r="L22" s="231"/>
      <c r="M22" s="81"/>
      <c r="N22" s="38"/>
      <c r="O22" s="38"/>
      <c r="P22" s="38"/>
      <c r="Q22" s="38"/>
      <c r="R22" s="38"/>
      <c r="S22" s="38"/>
      <c r="T22" s="38"/>
      <c r="U22" s="38"/>
      <c r="V22" s="38"/>
    </row>
    <row r="23" spans="1:22" ht="19.5">
      <c r="A23" s="231"/>
      <c r="B23" s="1013"/>
      <c r="C23" s="1017"/>
      <c r="D23" s="233"/>
      <c r="E23" s="233"/>
      <c r="F23" s="231"/>
      <c r="G23" s="232"/>
      <c r="H23" s="81"/>
      <c r="I23" s="231"/>
      <c r="J23" s="231"/>
      <c r="K23" s="231"/>
      <c r="L23" s="231"/>
      <c r="M23" s="81"/>
      <c r="N23" s="38"/>
      <c r="O23" s="38"/>
      <c r="P23" s="38"/>
      <c r="Q23" s="38"/>
      <c r="R23" s="38"/>
      <c r="S23" s="38"/>
      <c r="T23" s="38"/>
      <c r="U23" s="38"/>
      <c r="V23" s="38"/>
    </row>
    <row r="24" spans="1:22" ht="19.5">
      <c r="A24" s="231"/>
      <c r="B24" s="1013"/>
      <c r="C24" s="81"/>
      <c r="D24" s="233"/>
      <c r="E24" s="233"/>
      <c r="F24" s="231"/>
      <c r="G24" s="232"/>
      <c r="H24" s="81"/>
      <c r="I24" s="231"/>
      <c r="J24" s="231"/>
      <c r="K24" s="231"/>
      <c r="L24" s="231"/>
      <c r="M24" s="81"/>
      <c r="N24" s="38"/>
      <c r="O24" s="38"/>
      <c r="P24" s="38"/>
      <c r="Q24" s="38"/>
      <c r="R24" s="38"/>
      <c r="S24" s="38"/>
      <c r="T24" s="38"/>
      <c r="U24" s="38"/>
      <c r="V24" s="38"/>
    </row>
    <row r="25" spans="1:22" ht="19.5">
      <c r="A25" s="231"/>
      <c r="B25" s="1013"/>
      <c r="C25" s="884" t="s">
        <v>1096</v>
      </c>
      <c r="D25" s="233"/>
      <c r="E25" s="233"/>
      <c r="F25" s="231"/>
      <c r="G25" s="232"/>
      <c r="H25" s="81"/>
      <c r="I25" s="231"/>
      <c r="J25" s="231"/>
      <c r="K25" s="520"/>
      <c r="L25" s="520"/>
      <c r="M25" s="520"/>
      <c r="N25" s="38"/>
      <c r="O25" s="38"/>
      <c r="P25" s="38"/>
      <c r="Q25" s="38"/>
      <c r="R25" s="38"/>
      <c r="S25" s="38"/>
      <c r="T25" s="38"/>
      <c r="U25" s="38"/>
      <c r="V25" s="38"/>
    </row>
    <row r="26" spans="1:22" ht="19.5">
      <c r="A26" s="231"/>
      <c r="B26" s="1013"/>
      <c r="C26" s="52">
        <v>1</v>
      </c>
      <c r="D26" s="427" t="s">
        <v>118</v>
      </c>
      <c r="E26" s="233"/>
      <c r="F26" s="231"/>
      <c r="G26" s="232"/>
      <c r="H26" s="81"/>
      <c r="I26" s="231"/>
      <c r="J26" s="231"/>
      <c r="K26" s="1014">
        <f>+'[4]Inputs 2019'!E258</f>
        <v>5054790</v>
      </c>
      <c r="L26" s="430"/>
      <c r="M26" s="1014">
        <f>+'[4]Inputs 2019'!F258</f>
        <v>157404</v>
      </c>
      <c r="N26" s="38"/>
      <c r="O26" s="38"/>
      <c r="P26" s="38"/>
      <c r="Q26" s="38"/>
      <c r="R26" s="38"/>
      <c r="S26" s="38"/>
      <c r="T26" s="38"/>
      <c r="U26" s="38"/>
      <c r="V26" s="38"/>
    </row>
    <row r="27" spans="1:22" ht="19.5">
      <c r="A27" s="231"/>
      <c r="B27" s="1013"/>
      <c r="C27" s="52">
        <v>2</v>
      </c>
      <c r="D27" s="427" t="s">
        <v>1097</v>
      </c>
      <c r="E27" s="233"/>
      <c r="F27" s="231"/>
      <c r="G27" s="232"/>
      <c r="H27" s="81"/>
      <c r="I27" s="231"/>
      <c r="J27" s="231"/>
      <c r="K27" s="1014">
        <f>+'[4]Inputs 2019'!E259</f>
        <v>4884491.2800000012</v>
      </c>
      <c r="L27" s="430"/>
      <c r="M27" s="1014">
        <v>0</v>
      </c>
      <c r="N27" s="38"/>
      <c r="O27" s="38"/>
      <c r="P27" s="38"/>
      <c r="Q27" s="38"/>
      <c r="R27" s="38"/>
      <c r="S27" s="38"/>
      <c r="T27" s="38"/>
      <c r="U27" s="38"/>
      <c r="V27" s="38"/>
    </row>
    <row r="28" spans="1:22" ht="19.5">
      <c r="A28" s="231"/>
      <c r="B28" s="1013">
        <f>+B21+1</f>
        <v>4</v>
      </c>
      <c r="C28" s="884"/>
      <c r="D28" s="427" t="s">
        <v>1112</v>
      </c>
      <c r="E28" s="233"/>
      <c r="F28" s="231"/>
      <c r="G28" s="232"/>
      <c r="H28" s="81"/>
      <c r="I28" s="231"/>
      <c r="J28" s="231"/>
      <c r="K28" s="1018">
        <f>+K26+K27</f>
        <v>9939281.2800000012</v>
      </c>
      <c r="L28" s="430"/>
      <c r="M28" s="1018">
        <f>+M26+M27</f>
        <v>157404</v>
      </c>
      <c r="N28" s="38"/>
      <c r="O28" s="38"/>
      <c r="P28" s="38"/>
      <c r="Q28" s="38"/>
      <c r="R28" s="38"/>
      <c r="S28" s="38"/>
      <c r="T28" s="38"/>
      <c r="U28" s="38"/>
      <c r="V28" s="38"/>
    </row>
    <row r="29" spans="1:22" ht="19.5">
      <c r="A29" s="231"/>
      <c r="B29" s="1013"/>
      <c r="E29" s="233"/>
      <c r="F29" s="231"/>
      <c r="G29" s="232"/>
      <c r="H29" s="81"/>
      <c r="I29" s="231"/>
      <c r="J29" s="231"/>
      <c r="M29" s="244"/>
      <c r="N29" s="38"/>
      <c r="O29" s="38"/>
      <c r="P29" s="38"/>
      <c r="Q29" s="38"/>
      <c r="R29" s="38"/>
      <c r="S29" s="38"/>
      <c r="T29" s="38"/>
      <c r="U29" s="38"/>
      <c r="V29" s="38"/>
    </row>
    <row r="30" spans="1:22" ht="20.25">
      <c r="A30" s="231"/>
      <c r="B30" s="1013"/>
      <c r="C30" s="230"/>
      <c r="D30" s="233"/>
      <c r="E30" s="233"/>
      <c r="F30" s="231"/>
      <c r="G30" s="232"/>
      <c r="H30" s="81"/>
      <c r="I30" s="231"/>
      <c r="J30" s="231"/>
      <c r="K30" s="231"/>
      <c r="L30" s="231"/>
      <c r="M30" s="495"/>
      <c r="N30" s="38"/>
      <c r="O30" s="38"/>
      <c r="P30" s="38"/>
      <c r="Q30" s="38"/>
      <c r="R30" s="38"/>
      <c r="S30" s="38"/>
      <c r="T30" s="38"/>
      <c r="U30" s="38"/>
      <c r="V30" s="38"/>
    </row>
    <row r="31" spans="1:22" ht="20.25" customHeight="1">
      <c r="A31" s="231"/>
      <c r="B31" s="1013"/>
      <c r="C31" s="884" t="s">
        <v>1093</v>
      </c>
      <c r="D31" s="233"/>
      <c r="E31" s="233"/>
      <c r="F31" s="231"/>
      <c r="G31" s="233"/>
      <c r="H31" s="233"/>
      <c r="I31" s="231"/>
      <c r="J31" s="231"/>
      <c r="K31" s="233"/>
      <c r="L31" s="233"/>
      <c r="M31" s="1014">
        <f>+'[4]Inputs 2019'!E261</f>
        <v>44418234.770070001</v>
      </c>
      <c r="N31" s="38"/>
      <c r="O31" s="38"/>
      <c r="P31" s="38"/>
      <c r="Q31" s="38"/>
      <c r="R31" s="38"/>
      <c r="S31" s="38"/>
      <c r="T31" s="198"/>
      <c r="U31" s="38"/>
      <c r="V31" s="38"/>
    </row>
    <row r="32" spans="1:22" ht="19.899999999999999" customHeight="1">
      <c r="A32" s="231"/>
      <c r="B32" s="1013"/>
      <c r="C32" s="1017"/>
      <c r="D32" s="231"/>
      <c r="E32" s="231"/>
      <c r="F32" s="231"/>
      <c r="G32" s="231"/>
      <c r="H32" s="233"/>
      <c r="I32" s="231"/>
      <c r="J32" s="231"/>
      <c r="K32" s="231"/>
      <c r="L32" s="233"/>
      <c r="M32" s="234"/>
      <c r="N32" s="38"/>
      <c r="O32" s="38"/>
      <c r="P32" s="38"/>
      <c r="Q32" s="38"/>
      <c r="R32" s="38"/>
      <c r="S32" s="38"/>
      <c r="T32" s="163"/>
      <c r="U32" s="38"/>
      <c r="V32" s="38"/>
    </row>
    <row r="33" spans="1:22" ht="19.899999999999999" customHeight="1">
      <c r="A33" s="231"/>
      <c r="B33" s="1013"/>
      <c r="C33" s="891" t="s">
        <v>119</v>
      </c>
      <c r="D33" s="233"/>
      <c r="E33" s="231"/>
      <c r="F33" s="233"/>
      <c r="G33" s="231"/>
      <c r="H33" s="231"/>
      <c r="I33" s="231"/>
      <c r="J33" s="231"/>
      <c r="K33" s="231"/>
      <c r="L33" s="233"/>
      <c r="M33" s="234"/>
      <c r="N33" s="38"/>
      <c r="O33" s="38"/>
      <c r="P33" s="38"/>
      <c r="Q33" s="38"/>
      <c r="R33" s="38"/>
      <c r="S33" s="38"/>
      <c r="T33" s="163"/>
      <c r="U33" s="38"/>
      <c r="V33" s="38"/>
    </row>
    <row r="34" spans="1:22" ht="19.899999999999999" customHeight="1">
      <c r="A34" s="231"/>
      <c r="B34" s="1013"/>
      <c r="C34" s="52"/>
      <c r="D34" s="235" t="s">
        <v>120</v>
      </c>
      <c r="E34" s="236"/>
      <c r="F34" s="233"/>
      <c r="G34" s="231"/>
      <c r="H34" s="231"/>
      <c r="I34" s="231"/>
      <c r="J34" s="231"/>
      <c r="K34" s="231"/>
      <c r="L34" s="233"/>
      <c r="M34" s="1014">
        <v>0</v>
      </c>
      <c r="N34" s="38"/>
      <c r="O34" s="38"/>
      <c r="P34" s="38"/>
      <c r="Q34" s="38"/>
      <c r="R34" s="38"/>
      <c r="S34" s="38"/>
      <c r="T34" s="163"/>
      <c r="U34" s="38"/>
      <c r="V34" s="38"/>
    </row>
    <row r="35" spans="1:22" ht="19.899999999999999" customHeight="1">
      <c r="A35" s="231"/>
      <c r="B35" s="1013"/>
      <c r="C35" s="52"/>
      <c r="D35" s="235" t="s">
        <v>121</v>
      </c>
      <c r="E35" s="236"/>
      <c r="F35" s="233"/>
      <c r="G35" s="231"/>
      <c r="H35" s="231"/>
      <c r="I35" s="231"/>
      <c r="J35" s="231"/>
      <c r="K35" s="231"/>
      <c r="L35" s="233"/>
      <c r="M35" s="1014"/>
      <c r="N35" s="38"/>
      <c r="O35" s="38"/>
      <c r="P35" s="38"/>
      <c r="Q35" s="38"/>
      <c r="R35" s="38"/>
      <c r="S35" s="38"/>
      <c r="T35" s="163"/>
      <c r="U35" s="38"/>
      <c r="V35" s="38"/>
    </row>
    <row r="36" spans="1:22" ht="19.899999999999999" customHeight="1">
      <c r="A36" s="231"/>
      <c r="B36" s="1013"/>
      <c r="C36" s="52"/>
      <c r="D36" s="235" t="s">
        <v>122</v>
      </c>
      <c r="E36" s="236"/>
      <c r="F36" s="233"/>
      <c r="G36" s="231"/>
      <c r="H36" s="231"/>
      <c r="I36" s="231"/>
      <c r="J36" s="231"/>
      <c r="K36" s="231"/>
      <c r="L36" s="233"/>
      <c r="M36" s="1014">
        <v>0</v>
      </c>
      <c r="N36" s="38"/>
      <c r="O36" s="38"/>
      <c r="P36" s="38"/>
      <c r="Q36" s="38"/>
      <c r="R36" s="38"/>
      <c r="S36" s="38"/>
      <c r="T36" s="163"/>
      <c r="U36" s="38"/>
      <c r="V36" s="38"/>
    </row>
    <row r="37" spans="1:22" ht="19.899999999999999" customHeight="1">
      <c r="A37" s="231"/>
      <c r="B37" s="1013"/>
      <c r="C37" s="52"/>
      <c r="D37" s="235" t="s">
        <v>123</v>
      </c>
      <c r="E37" s="236"/>
      <c r="F37" s="233"/>
      <c r="G37" s="231"/>
      <c r="H37" s="231"/>
      <c r="I37" s="231"/>
      <c r="J37" s="231"/>
      <c r="K37" s="233"/>
      <c r="L37" s="233"/>
      <c r="M37" s="1014"/>
      <c r="N37" s="38"/>
      <c r="O37" s="38"/>
      <c r="P37" s="38"/>
      <c r="Q37" s="38"/>
      <c r="R37" s="38"/>
      <c r="S37" s="38"/>
      <c r="T37" s="163"/>
      <c r="U37" s="38"/>
      <c r="V37" s="38"/>
    </row>
    <row r="38" spans="1:22" ht="19.899999999999999" customHeight="1">
      <c r="A38" s="231"/>
      <c r="B38" s="1013"/>
      <c r="C38" s="52"/>
      <c r="D38" s="235" t="s">
        <v>124</v>
      </c>
      <c r="E38" s="237"/>
      <c r="F38" s="233"/>
      <c r="G38" s="231"/>
      <c r="H38" s="231"/>
      <c r="I38" s="231"/>
      <c r="J38" s="231"/>
      <c r="K38" s="231"/>
      <c r="L38" s="233"/>
      <c r="M38" s="1014">
        <f>+'[4]Inputs 2019'!E270</f>
        <v>14105982.595799999</v>
      </c>
      <c r="N38" s="38"/>
      <c r="O38" s="38"/>
      <c r="P38" s="38"/>
      <c r="Q38" s="38"/>
      <c r="R38" s="38"/>
      <c r="S38" s="38"/>
      <c r="T38" s="163"/>
      <c r="U38" s="38"/>
      <c r="V38" s="38"/>
    </row>
    <row r="39" spans="1:22" ht="19.899999999999999" customHeight="1">
      <c r="A39" s="231"/>
      <c r="B39" s="1013"/>
      <c r="C39" s="52"/>
      <c r="D39" s="235" t="s">
        <v>125</v>
      </c>
      <c r="E39" s="236"/>
      <c r="F39" s="231"/>
      <c r="G39" s="231"/>
      <c r="H39" s="231"/>
      <c r="I39" s="231"/>
      <c r="J39" s="231"/>
      <c r="K39" s="231"/>
      <c r="L39" s="233"/>
      <c r="M39" s="1014"/>
      <c r="N39" s="38"/>
      <c r="O39" s="38"/>
      <c r="P39" s="38"/>
      <c r="Q39" s="38"/>
      <c r="R39" s="38"/>
      <c r="S39" s="38"/>
      <c r="T39" s="163"/>
      <c r="U39" s="38"/>
      <c r="V39" s="38"/>
    </row>
    <row r="40" spans="1:22" ht="19.899999999999999" customHeight="1">
      <c r="A40" s="231"/>
      <c r="B40" s="1013"/>
      <c r="C40" s="52"/>
      <c r="D40" s="235" t="s">
        <v>126</v>
      </c>
      <c r="E40" s="236"/>
      <c r="F40" s="231"/>
      <c r="G40" s="231"/>
      <c r="H40" s="231"/>
      <c r="I40" s="231"/>
      <c r="J40" s="231"/>
      <c r="K40" s="231"/>
      <c r="L40" s="233"/>
      <c r="M40" s="1014"/>
      <c r="N40" s="38"/>
      <c r="O40" s="38"/>
      <c r="P40" s="38"/>
      <c r="Q40" s="38"/>
      <c r="R40" s="38"/>
      <c r="S40" s="38"/>
      <c r="T40" s="163"/>
      <c r="U40" s="38"/>
      <c r="V40" s="38"/>
    </row>
    <row r="41" spans="1:22" ht="19.899999999999999" customHeight="1">
      <c r="A41" s="231"/>
      <c r="B41" s="1013"/>
      <c r="C41" s="52"/>
      <c r="D41" s="235" t="s">
        <v>127</v>
      </c>
      <c r="E41" s="236"/>
      <c r="F41" s="231"/>
      <c r="G41" s="231"/>
      <c r="H41" s="231"/>
      <c r="I41" s="231"/>
      <c r="J41" s="231"/>
      <c r="K41" s="231"/>
      <c r="L41" s="233"/>
      <c r="M41" s="1014">
        <f>+'[4]Inputs 2019'!E273</f>
        <v>698788.44137000002</v>
      </c>
      <c r="N41" s="38"/>
      <c r="O41" s="38"/>
      <c r="P41" s="38"/>
      <c r="Q41" s="38"/>
      <c r="R41" s="38"/>
      <c r="S41" s="38"/>
      <c r="T41" s="163"/>
      <c r="U41" s="38"/>
      <c r="V41" s="38"/>
    </row>
    <row r="42" spans="1:22" ht="19.899999999999999" customHeight="1">
      <c r="A42" s="231"/>
      <c r="B42" s="1013"/>
      <c r="C42" s="52"/>
      <c r="D42" s="235" t="s">
        <v>128</v>
      </c>
      <c r="E42" s="236"/>
      <c r="F42" s="231"/>
      <c r="G42" s="231"/>
      <c r="H42" s="231"/>
      <c r="I42" s="231"/>
      <c r="J42" s="231"/>
      <c r="K42" s="231"/>
      <c r="L42" s="233"/>
      <c r="M42" s="1014">
        <f>+'[4]Inputs 2019'!E282</f>
        <v>23875227.434500001</v>
      </c>
      <c r="N42" s="38"/>
      <c r="O42" s="38"/>
      <c r="P42" s="38"/>
      <c r="Q42" s="38"/>
      <c r="R42" s="38"/>
      <c r="S42" s="38"/>
      <c r="T42" s="163"/>
      <c r="U42" s="38"/>
      <c r="V42" s="38"/>
    </row>
    <row r="43" spans="1:22" ht="19.899999999999999" customHeight="1">
      <c r="A43" s="231"/>
      <c r="B43" s="1013"/>
      <c r="C43" s="52"/>
      <c r="D43" s="238" t="s">
        <v>129</v>
      </c>
      <c r="E43" s="236"/>
      <c r="F43" s="231"/>
      <c r="G43" s="231"/>
      <c r="H43" s="231"/>
      <c r="I43" s="231"/>
      <c r="J43" s="231"/>
      <c r="K43" s="231"/>
      <c r="L43" s="233"/>
      <c r="M43" s="1014"/>
      <c r="N43" s="38"/>
      <c r="O43" s="38"/>
      <c r="P43" s="38"/>
      <c r="Q43" s="38"/>
      <c r="R43" s="38"/>
      <c r="S43" s="38"/>
      <c r="T43" s="163"/>
      <c r="U43" s="38"/>
      <c r="V43" s="38"/>
    </row>
    <row r="44" spans="1:22" ht="19.899999999999999" customHeight="1">
      <c r="A44" s="231"/>
      <c r="B44" s="1013"/>
      <c r="C44" s="52"/>
      <c r="D44" s="432" t="s">
        <v>355</v>
      </c>
      <c r="E44" s="236"/>
      <c r="F44" s="231"/>
      <c r="G44" s="231"/>
      <c r="H44" s="231"/>
      <c r="I44" s="231"/>
      <c r="J44" s="231"/>
      <c r="K44" s="231"/>
      <c r="L44" s="233"/>
      <c r="M44" s="1014"/>
      <c r="N44" s="38"/>
      <c r="O44" s="38"/>
      <c r="P44" s="38"/>
      <c r="Q44" s="38"/>
      <c r="R44" s="38"/>
      <c r="S44" s="38"/>
      <c r="T44" s="163"/>
      <c r="U44" s="38"/>
      <c r="V44" s="38"/>
    </row>
    <row r="45" spans="1:22" ht="19.899999999999999" customHeight="1">
      <c r="A45" s="231"/>
      <c r="B45" s="1019">
        <f>+B28+1</f>
        <v>5</v>
      </c>
      <c r="C45" s="889"/>
      <c r="D45" s="889"/>
      <c r="E45" s="889"/>
      <c r="F45" s="889"/>
      <c r="G45" s="889"/>
      <c r="H45" s="889"/>
      <c r="I45" s="884" t="s">
        <v>1148</v>
      </c>
      <c r="J45" s="888"/>
      <c r="K45" s="233"/>
      <c r="L45" s="233"/>
      <c r="M45" s="240">
        <f>+M31-SUM(M34:M44)</f>
        <v>5738236.2983999997</v>
      </c>
      <c r="N45" s="38"/>
      <c r="O45" s="38"/>
      <c r="P45" s="38"/>
      <c r="Q45" s="38"/>
      <c r="R45" s="38"/>
      <c r="S45" s="38"/>
      <c r="T45" s="163"/>
      <c r="U45" s="38"/>
      <c r="V45" s="38"/>
    </row>
    <row r="46" spans="1:22" ht="19.899999999999999" customHeight="1">
      <c r="A46" s="231"/>
      <c r="B46" s="1019"/>
      <c r="C46" s="889"/>
      <c r="D46" s="889"/>
      <c r="E46" s="889"/>
      <c r="F46" s="889"/>
      <c r="G46" s="889"/>
      <c r="H46" s="889"/>
      <c r="I46" s="889"/>
      <c r="J46" s="889"/>
      <c r="K46" s="231"/>
      <c r="L46" s="239"/>
      <c r="M46" s="81"/>
      <c r="N46" s="38"/>
      <c r="O46" s="38"/>
      <c r="P46" s="38"/>
      <c r="Q46" s="38"/>
      <c r="R46" s="38"/>
      <c r="S46" s="38"/>
      <c r="T46" s="163"/>
      <c r="U46" s="38"/>
      <c r="V46" s="38"/>
    </row>
    <row r="47" spans="1:22" ht="39.75" customHeight="1">
      <c r="A47" s="231"/>
      <c r="B47" s="1019">
        <f>+B45+1</f>
        <v>6</v>
      </c>
      <c r="C47" s="1595" t="s">
        <v>1089</v>
      </c>
      <c r="D47" s="1595"/>
      <c r="E47" s="1595"/>
      <c r="F47" s="1595"/>
      <c r="G47" s="1595"/>
      <c r="H47" s="1595"/>
      <c r="I47" s="1595"/>
      <c r="J47" s="1595"/>
      <c r="K47" s="1014"/>
      <c r="L47" s="430"/>
      <c r="M47" s="1014"/>
      <c r="N47" s="38"/>
      <c r="O47" s="38"/>
      <c r="P47" s="38"/>
      <c r="Q47" s="38"/>
      <c r="R47" s="38"/>
      <c r="S47" s="38"/>
      <c r="T47" s="163"/>
      <c r="U47" s="38"/>
      <c r="V47" s="38"/>
    </row>
    <row r="48" spans="1:22" ht="19.899999999999999" customHeight="1">
      <c r="A48" s="231"/>
      <c r="B48" s="1019"/>
      <c r="C48" s="1020"/>
      <c r="D48" s="885"/>
      <c r="E48" s="885"/>
      <c r="F48" s="886"/>
      <c r="G48" s="887"/>
      <c r="H48" s="886"/>
      <c r="I48" s="886"/>
      <c r="J48" s="886"/>
      <c r="K48" s="1021"/>
      <c r="L48" s="430"/>
      <c r="M48" s="1021"/>
      <c r="N48" s="38"/>
      <c r="O48" s="38"/>
      <c r="P48" s="38"/>
      <c r="Q48" s="38"/>
      <c r="R48" s="38"/>
      <c r="S48" s="38"/>
      <c r="T48" s="163"/>
      <c r="U48" s="38"/>
      <c r="V48" s="38"/>
    </row>
    <row r="49" spans="1:22" ht="19.5">
      <c r="A49" s="231"/>
      <c r="B49" s="1019">
        <f>+B47+1</f>
        <v>7</v>
      </c>
      <c r="C49" s="1595" t="s">
        <v>1090</v>
      </c>
      <c r="D49" s="1595"/>
      <c r="E49" s="1595"/>
      <c r="F49" s="1595"/>
      <c r="G49" s="1595"/>
      <c r="H49" s="1595"/>
      <c r="I49" s="1595"/>
      <c r="J49" s="1595"/>
      <c r="K49" s="1014"/>
      <c r="L49" s="430"/>
      <c r="M49" s="1014"/>
      <c r="N49" s="38"/>
      <c r="O49" s="38"/>
      <c r="P49" s="38"/>
      <c r="Q49" s="38"/>
      <c r="R49" s="38"/>
      <c r="S49" s="38"/>
      <c r="T49" s="163"/>
      <c r="U49" s="38"/>
      <c r="V49" s="38"/>
    </row>
    <row r="50" spans="1:22" ht="19.899999999999999" customHeight="1">
      <c r="A50" s="231"/>
      <c r="B50" s="1019"/>
      <c r="C50" s="1022"/>
      <c r="D50" s="888"/>
      <c r="E50" s="888"/>
      <c r="F50" s="889"/>
      <c r="G50" s="890"/>
      <c r="H50" s="889"/>
      <c r="I50" s="889"/>
      <c r="J50" s="889"/>
      <c r="K50" s="1021"/>
      <c r="L50" s="430"/>
      <c r="M50" s="1021"/>
      <c r="N50" s="38"/>
      <c r="O50" s="38"/>
      <c r="P50" s="38"/>
      <c r="Q50" s="38"/>
      <c r="R50" s="38"/>
      <c r="S50" s="38"/>
      <c r="T50" s="163"/>
      <c r="U50" s="38"/>
      <c r="V50" s="38"/>
    </row>
    <row r="51" spans="1:22" ht="20.25" customHeight="1" thickBot="1">
      <c r="A51" s="231"/>
      <c r="B51" s="1019">
        <f>+B49+1</f>
        <v>8</v>
      </c>
      <c r="C51" s="884" t="str">
        <f>"Total Revenue Credits - Sum lines "&amp;B11&amp;" through "&amp;B49&amp;""</f>
        <v>Total Revenue Credits - Sum lines 1 through 7</v>
      </c>
      <c r="D51" s="888"/>
      <c r="E51" s="888"/>
      <c r="F51" s="889"/>
      <c r="G51" s="888"/>
      <c r="H51" s="888"/>
      <c r="I51" s="889"/>
      <c r="J51" s="889"/>
      <c r="K51" s="231"/>
      <c r="L51" s="231"/>
      <c r="M51" s="241">
        <f>+M11+M13+M21+M28+M45+M47+M49</f>
        <v>6362726.8883999996</v>
      </c>
      <c r="N51" s="38"/>
      <c r="O51" s="38"/>
      <c r="P51" s="38"/>
      <c r="Q51" s="38"/>
      <c r="R51" s="38"/>
      <c r="S51" s="38"/>
      <c r="T51" s="198"/>
      <c r="U51" s="38"/>
      <c r="V51" s="38"/>
    </row>
    <row r="52" spans="1:22" ht="19.899999999999999" customHeight="1" thickTop="1">
      <c r="A52" s="231"/>
      <c r="B52" s="231"/>
      <c r="C52" s="231"/>
      <c r="D52" s="14"/>
      <c r="E52" s="231"/>
      <c r="F52" s="231"/>
      <c r="G52" s="231"/>
      <c r="H52" s="231"/>
      <c r="I52" s="231"/>
      <c r="J52" s="231"/>
      <c r="K52" s="231"/>
      <c r="L52" s="239"/>
      <c r="M52" s="38"/>
      <c r="N52" s="38"/>
      <c r="O52" s="38"/>
      <c r="P52" s="38"/>
      <c r="Q52" s="38"/>
      <c r="R52" s="38"/>
      <c r="S52" s="38"/>
      <c r="T52" s="163"/>
      <c r="U52" s="38"/>
      <c r="V52" s="38"/>
    </row>
    <row r="53" spans="1:22" ht="20.25">
      <c r="A53" s="231"/>
      <c r="B53" s="1023"/>
      <c r="C53" s="1023"/>
      <c r="D53" s="233"/>
      <c r="E53" s="233"/>
      <c r="F53" s="242"/>
      <c r="G53" s="242"/>
      <c r="H53" s="242"/>
      <c r="I53" s="242"/>
      <c r="J53" s="242"/>
      <c r="K53" s="242"/>
      <c r="L53" s="243"/>
      <c r="M53" s="38"/>
      <c r="N53" s="39"/>
      <c r="O53" s="39"/>
      <c r="P53" s="39"/>
      <c r="Q53" s="39"/>
      <c r="R53" s="40"/>
      <c r="S53" s="40"/>
      <c r="T53" s="38"/>
      <c r="U53" s="38"/>
      <c r="V53" s="38"/>
    </row>
    <row r="54" spans="1:22" ht="12.75">
      <c r="A54" s="231"/>
      <c r="B54" s="231"/>
      <c r="C54" s="233"/>
      <c r="D54" s="233"/>
      <c r="E54" s="233"/>
      <c r="F54" s="242"/>
      <c r="G54" s="242"/>
      <c r="H54" s="242"/>
      <c r="I54" s="242"/>
      <c r="J54" s="242"/>
      <c r="K54" s="242"/>
      <c r="L54" s="231"/>
      <c r="M54" s="38"/>
      <c r="N54" s="39"/>
      <c r="O54" s="39"/>
      <c r="P54" s="39"/>
      <c r="Q54" s="39"/>
      <c r="R54" s="38"/>
      <c r="S54" s="38"/>
      <c r="T54" s="38"/>
      <c r="U54" s="38"/>
      <c r="V54" s="38"/>
    </row>
    <row r="55" spans="1:22">
      <c r="A55" s="231"/>
      <c r="B55" s="231"/>
      <c r="C55" s="81" t="s">
        <v>1091</v>
      </c>
      <c r="E55" s="233"/>
      <c r="F55" s="242"/>
      <c r="G55" s="242"/>
      <c r="H55" s="242"/>
      <c r="I55" s="242"/>
      <c r="J55" s="242"/>
      <c r="K55" s="242"/>
      <c r="L55" s="231"/>
      <c r="M55" s="38"/>
      <c r="N55" s="39"/>
      <c r="O55" s="39"/>
      <c r="P55" s="39"/>
      <c r="Q55" s="39"/>
      <c r="R55" s="38"/>
      <c r="S55" s="38"/>
      <c r="T55" s="38"/>
      <c r="U55" s="38"/>
      <c r="V55" s="38"/>
    </row>
    <row r="56" spans="1:22" ht="12.75" customHeight="1">
      <c r="A56" s="38"/>
      <c r="B56" s="38"/>
      <c r="C56" s="38"/>
      <c r="D56" s="38"/>
      <c r="E56" s="38"/>
      <c r="F56" s="38"/>
      <c r="G56" s="38"/>
      <c r="H56" s="38"/>
      <c r="I56" s="38"/>
      <c r="J56" s="38"/>
      <c r="K56" s="38"/>
      <c r="L56" s="38"/>
      <c r="M56" s="38"/>
      <c r="N56" s="38"/>
      <c r="O56" s="38"/>
      <c r="P56" s="38"/>
      <c r="Q56" s="38"/>
      <c r="R56" s="38"/>
      <c r="S56" s="38"/>
      <c r="T56" s="38"/>
      <c r="U56" s="38"/>
      <c r="V56" s="38"/>
    </row>
    <row r="57" spans="1:22" ht="12.75" customHeight="1">
      <c r="A57" s="38"/>
      <c r="B57" s="38"/>
      <c r="C57" s="38"/>
      <c r="D57" s="38"/>
      <c r="E57" s="38"/>
      <c r="F57" s="38"/>
      <c r="G57" s="38"/>
      <c r="H57" s="38"/>
      <c r="I57" s="38"/>
      <c r="J57" s="38"/>
      <c r="K57" s="38"/>
      <c r="L57" s="38"/>
      <c r="M57" s="38"/>
      <c r="N57" s="38"/>
      <c r="O57" s="38"/>
      <c r="P57" s="38"/>
      <c r="Q57" s="38"/>
      <c r="R57" s="38"/>
      <c r="S57" s="38"/>
      <c r="T57" s="38"/>
      <c r="U57" s="38"/>
      <c r="V57" s="38"/>
    </row>
    <row r="58" spans="1:22" ht="12.75" customHeight="1">
      <c r="A58" s="38"/>
      <c r="B58" s="38"/>
      <c r="C58" s="38"/>
      <c r="D58" s="38"/>
      <c r="E58" s="38"/>
      <c r="F58" s="38"/>
      <c r="G58" s="38"/>
      <c r="H58" s="38"/>
      <c r="I58" s="38"/>
      <c r="J58" s="38"/>
      <c r="K58" s="38"/>
      <c r="L58" s="38"/>
      <c r="M58" s="38"/>
      <c r="N58" s="38"/>
      <c r="O58" s="38"/>
      <c r="P58" s="38"/>
      <c r="Q58" s="38"/>
      <c r="R58" s="38"/>
      <c r="S58" s="38"/>
      <c r="T58" s="38"/>
      <c r="U58" s="38"/>
      <c r="V58" s="38"/>
    </row>
    <row r="59" spans="1:22" ht="12.75" customHeight="1">
      <c r="A59" s="38"/>
      <c r="B59" s="38"/>
      <c r="C59" s="38"/>
      <c r="D59" s="38"/>
      <c r="E59" s="38"/>
      <c r="F59" s="38"/>
      <c r="G59" s="38"/>
      <c r="H59" s="38"/>
      <c r="I59" s="38"/>
      <c r="J59" s="38"/>
      <c r="K59" s="38"/>
      <c r="L59" s="38"/>
      <c r="M59" s="38"/>
      <c r="N59" s="38"/>
      <c r="O59" s="38"/>
      <c r="P59" s="38"/>
      <c r="Q59" s="38"/>
      <c r="R59" s="38"/>
      <c r="S59" s="38"/>
      <c r="T59" s="38"/>
      <c r="U59" s="38"/>
      <c r="V59" s="38"/>
    </row>
    <row r="60" spans="1:22" ht="12.75" customHeight="1">
      <c r="A60" s="38"/>
      <c r="B60" s="38"/>
      <c r="C60" s="38"/>
      <c r="D60" s="38"/>
      <c r="E60" s="38"/>
      <c r="F60" s="38"/>
      <c r="G60" s="38"/>
      <c r="H60" s="38"/>
      <c r="I60" s="38"/>
      <c r="J60" s="38"/>
      <c r="K60" s="38"/>
      <c r="L60" s="38"/>
      <c r="M60" s="38"/>
      <c r="N60" s="38"/>
      <c r="O60" s="38"/>
      <c r="P60" s="38"/>
      <c r="Q60" s="38"/>
      <c r="R60" s="38"/>
      <c r="S60" s="38"/>
      <c r="T60" s="38"/>
      <c r="U60" s="38"/>
      <c r="V60" s="38"/>
    </row>
    <row r="61" spans="1:22" ht="12.75" customHeight="1">
      <c r="A61" s="38"/>
      <c r="B61" s="38"/>
      <c r="C61" s="38"/>
      <c r="D61" s="38"/>
      <c r="E61" s="38"/>
      <c r="F61" s="38"/>
      <c r="G61" s="38"/>
      <c r="H61" s="38"/>
      <c r="I61" s="38"/>
      <c r="J61" s="38"/>
      <c r="K61" s="38"/>
      <c r="L61" s="38"/>
      <c r="M61" s="38"/>
      <c r="N61" s="38"/>
      <c r="O61" s="38"/>
      <c r="P61" s="38"/>
      <c r="Q61" s="38"/>
      <c r="R61" s="38"/>
      <c r="S61" s="38"/>
      <c r="T61" s="38"/>
      <c r="U61" s="38"/>
      <c r="V61" s="38"/>
    </row>
    <row r="62" spans="1:22" ht="12.75" customHeight="1">
      <c r="A62" s="38"/>
      <c r="B62" s="38"/>
      <c r="C62" s="38"/>
      <c r="D62" s="38"/>
      <c r="E62" s="38"/>
      <c r="F62" s="38"/>
      <c r="G62" s="38"/>
      <c r="H62" s="38"/>
      <c r="I62" s="38"/>
      <c r="J62" s="38"/>
      <c r="K62" s="38"/>
      <c r="L62" s="38"/>
      <c r="M62" s="38"/>
      <c r="N62" s="38"/>
      <c r="O62" s="38"/>
      <c r="P62" s="38"/>
      <c r="Q62" s="38"/>
      <c r="R62" s="38"/>
      <c r="S62" s="38"/>
      <c r="T62" s="38"/>
      <c r="U62" s="38"/>
      <c r="V62" s="38"/>
    </row>
    <row r="63" spans="1:22" ht="12.75" customHeight="1">
      <c r="A63" s="38"/>
      <c r="B63" s="38"/>
      <c r="C63" s="38"/>
      <c r="D63" s="38"/>
      <c r="E63" s="38"/>
      <c r="F63" s="38"/>
      <c r="G63" s="38"/>
      <c r="H63" s="38"/>
      <c r="I63" s="38"/>
      <c r="J63" s="38"/>
      <c r="K63" s="38"/>
      <c r="L63" s="38"/>
      <c r="M63" s="38"/>
      <c r="N63" s="38"/>
      <c r="O63" s="38"/>
      <c r="P63" s="38"/>
      <c r="Q63" s="38"/>
      <c r="R63" s="38"/>
      <c r="S63" s="38"/>
      <c r="T63" s="38"/>
      <c r="U63" s="38"/>
      <c r="V63" s="38"/>
    </row>
    <row r="64" spans="1:22" ht="12.75" customHeight="1">
      <c r="A64" s="38"/>
      <c r="B64" s="38"/>
      <c r="C64" s="38"/>
      <c r="D64" s="38"/>
      <c r="E64" s="38"/>
      <c r="F64" s="38"/>
      <c r="G64" s="38"/>
      <c r="H64" s="38"/>
      <c r="I64" s="38"/>
      <c r="J64" s="38"/>
      <c r="K64" s="38"/>
      <c r="L64" s="38"/>
      <c r="M64" s="38"/>
      <c r="N64" s="38"/>
      <c r="O64" s="38"/>
      <c r="P64" s="38"/>
      <c r="Q64" s="38"/>
      <c r="R64" s="38"/>
      <c r="S64" s="38"/>
      <c r="T64" s="38"/>
      <c r="U64" s="38"/>
      <c r="V64" s="38"/>
    </row>
    <row r="65" spans="1:22" ht="12.75">
      <c r="A65" s="38"/>
      <c r="B65" s="38"/>
      <c r="C65" s="38"/>
      <c r="D65" s="38"/>
      <c r="E65" s="38"/>
      <c r="F65" s="38"/>
      <c r="G65" s="38"/>
      <c r="H65" s="38"/>
      <c r="I65" s="38"/>
      <c r="J65" s="38"/>
      <c r="K65" s="38"/>
      <c r="L65" s="38"/>
      <c r="M65" s="38"/>
      <c r="N65" s="38"/>
      <c r="O65" s="38"/>
      <c r="P65" s="38"/>
      <c r="Q65" s="38"/>
      <c r="R65" s="38"/>
      <c r="S65" s="38"/>
      <c r="T65" s="38"/>
      <c r="U65" s="38"/>
      <c r="V65" s="38"/>
    </row>
    <row r="66" spans="1:22" ht="12.75">
      <c r="A66" s="38"/>
      <c r="B66" s="38"/>
      <c r="C66" s="38"/>
      <c r="D66" s="38"/>
      <c r="E66" s="38"/>
      <c r="F66" s="38"/>
      <c r="G66" s="38"/>
      <c r="H66" s="38"/>
      <c r="I66" s="38"/>
      <c r="J66" s="38"/>
      <c r="K66" s="38"/>
      <c r="L66" s="38"/>
      <c r="M66" s="38"/>
      <c r="N66" s="38"/>
      <c r="O66" s="38"/>
      <c r="P66" s="38"/>
      <c r="Q66" s="38"/>
      <c r="R66" s="38"/>
      <c r="S66" s="38"/>
      <c r="T66" s="38"/>
      <c r="U66" s="38"/>
      <c r="V66" s="38"/>
    </row>
    <row r="67" spans="1:22" ht="12.75">
      <c r="A67" s="38"/>
      <c r="B67" s="38"/>
      <c r="C67" s="38"/>
      <c r="D67" s="38"/>
      <c r="E67" s="38"/>
      <c r="F67" s="38"/>
      <c r="G67" s="38"/>
      <c r="H67" s="38"/>
      <c r="I67" s="38"/>
      <c r="J67" s="38"/>
      <c r="K67" s="38"/>
      <c r="L67" s="38"/>
      <c r="M67" s="38"/>
      <c r="N67" s="38"/>
      <c r="O67" s="38"/>
      <c r="P67" s="38"/>
      <c r="Q67" s="38"/>
      <c r="R67" s="38"/>
      <c r="S67" s="38"/>
      <c r="T67" s="38"/>
      <c r="U67" s="38"/>
      <c r="V67" s="38"/>
    </row>
    <row r="68" spans="1:22" ht="12.75">
      <c r="A68" s="38"/>
      <c r="B68" s="38"/>
      <c r="C68" s="38"/>
      <c r="D68" s="38"/>
      <c r="E68" s="38"/>
      <c r="F68" s="38"/>
      <c r="G68" s="38"/>
      <c r="H68" s="38"/>
      <c r="I68" s="38"/>
      <c r="J68" s="38"/>
      <c r="K68" s="38"/>
      <c r="L68" s="38"/>
      <c r="M68" s="38"/>
      <c r="N68" s="38"/>
      <c r="O68" s="38"/>
      <c r="P68" s="38"/>
      <c r="Q68" s="38"/>
      <c r="R68" s="38"/>
      <c r="S68" s="38"/>
      <c r="T68" s="38"/>
      <c r="U68" s="38"/>
      <c r="V68" s="38"/>
    </row>
    <row r="69" spans="1:22" ht="12.75">
      <c r="A69" s="38"/>
      <c r="B69" s="38"/>
      <c r="C69" s="38"/>
      <c r="D69" s="38"/>
      <c r="E69" s="38"/>
      <c r="F69" s="38"/>
      <c r="G69" s="38"/>
      <c r="H69" s="38"/>
      <c r="I69" s="38"/>
      <c r="J69" s="38"/>
      <c r="K69" s="38"/>
      <c r="L69" s="38"/>
      <c r="M69" s="38"/>
      <c r="N69" s="38"/>
      <c r="O69" s="38"/>
      <c r="P69" s="38"/>
      <c r="Q69" s="38"/>
      <c r="R69" s="38"/>
      <c r="S69" s="38"/>
      <c r="T69" s="38"/>
      <c r="U69" s="38"/>
      <c r="V69" s="38"/>
    </row>
    <row r="70" spans="1:22" ht="12.75">
      <c r="A70" s="38"/>
      <c r="B70" s="38"/>
      <c r="C70" s="38"/>
      <c r="D70" s="38"/>
      <c r="E70" s="38"/>
      <c r="F70" s="38"/>
      <c r="G70" s="38"/>
      <c r="H70" s="38"/>
      <c r="I70" s="38"/>
      <c r="J70" s="38"/>
      <c r="K70" s="38"/>
      <c r="L70" s="38"/>
      <c r="M70" s="38"/>
      <c r="N70" s="38"/>
      <c r="O70" s="38"/>
      <c r="P70" s="38"/>
      <c r="Q70" s="38"/>
      <c r="R70" s="38"/>
      <c r="S70" s="38"/>
      <c r="T70" s="38"/>
      <c r="U70" s="38"/>
      <c r="V70" s="38"/>
    </row>
    <row r="71" spans="1:22" ht="12.75">
      <c r="A71" s="38"/>
      <c r="B71" s="38"/>
      <c r="C71" s="38"/>
      <c r="D71" s="38"/>
      <c r="E71" s="38"/>
      <c r="F71" s="38"/>
      <c r="G71" s="38"/>
      <c r="H71" s="38"/>
      <c r="I71" s="38"/>
      <c r="J71" s="38"/>
      <c r="K71" s="38"/>
      <c r="L71" s="38"/>
      <c r="M71" s="38"/>
      <c r="N71" s="38"/>
      <c r="O71" s="38"/>
      <c r="P71" s="38"/>
      <c r="Q71" s="38"/>
      <c r="R71" s="38"/>
      <c r="S71" s="38"/>
      <c r="T71" s="38"/>
      <c r="U71" s="38"/>
      <c r="V71" s="38"/>
    </row>
    <row r="72" spans="1:22" ht="12.75">
      <c r="A72" s="38"/>
      <c r="B72" s="38"/>
      <c r="C72" s="38"/>
      <c r="D72" s="38"/>
      <c r="E72" s="38"/>
      <c r="F72" s="38"/>
      <c r="G72" s="38"/>
      <c r="H72" s="38"/>
      <c r="I72" s="38"/>
      <c r="J72" s="38"/>
      <c r="K72" s="38"/>
      <c r="L72" s="38"/>
      <c r="M72" s="38"/>
      <c r="N72" s="38"/>
      <c r="O72" s="38"/>
      <c r="P72" s="38"/>
      <c r="Q72" s="38"/>
      <c r="R72" s="38"/>
      <c r="S72" s="38"/>
      <c r="T72" s="38"/>
      <c r="U72" s="38"/>
      <c r="V72" s="38"/>
    </row>
    <row r="73" spans="1:22" ht="12.75">
      <c r="A73" s="38"/>
      <c r="B73" s="38"/>
      <c r="C73" s="38"/>
      <c r="D73" s="38"/>
      <c r="E73" s="38"/>
      <c r="F73" s="38"/>
      <c r="G73" s="38"/>
      <c r="H73" s="38"/>
      <c r="I73" s="38"/>
      <c r="J73" s="38"/>
      <c r="K73" s="38"/>
      <c r="L73" s="38"/>
      <c r="M73" s="38"/>
      <c r="N73" s="38"/>
      <c r="O73" s="38"/>
      <c r="P73" s="38"/>
      <c r="Q73" s="38"/>
      <c r="R73" s="38"/>
      <c r="S73" s="38"/>
      <c r="T73" s="38"/>
      <c r="U73" s="38"/>
      <c r="V73" s="38"/>
    </row>
    <row r="74" spans="1:22" ht="12.75">
      <c r="A74" s="38"/>
      <c r="B74" s="38"/>
      <c r="C74" s="38"/>
      <c r="D74" s="38"/>
      <c r="E74" s="38"/>
      <c r="F74" s="38"/>
      <c r="G74" s="38"/>
      <c r="H74" s="38"/>
      <c r="I74" s="38"/>
      <c r="J74" s="38"/>
      <c r="K74" s="38"/>
      <c r="L74" s="38"/>
      <c r="M74" s="38"/>
      <c r="N74" s="38"/>
      <c r="O74" s="38"/>
      <c r="P74" s="38"/>
      <c r="Q74" s="38"/>
      <c r="R74" s="38"/>
      <c r="S74" s="38"/>
      <c r="T74" s="38"/>
      <c r="U74" s="38"/>
      <c r="V74" s="38"/>
    </row>
    <row r="75" spans="1:22" ht="12.75">
      <c r="A75" s="38"/>
      <c r="B75" s="38"/>
      <c r="C75" s="38"/>
      <c r="D75" s="38"/>
      <c r="E75" s="38"/>
      <c r="F75" s="38"/>
      <c r="G75" s="38"/>
      <c r="H75" s="38"/>
      <c r="I75" s="38"/>
      <c r="J75" s="38"/>
      <c r="K75" s="38"/>
      <c r="L75" s="38"/>
      <c r="M75" s="38"/>
      <c r="N75" s="38"/>
      <c r="O75" s="38"/>
      <c r="P75" s="38"/>
      <c r="Q75" s="38"/>
      <c r="R75" s="38"/>
      <c r="S75" s="38"/>
      <c r="T75" s="38"/>
      <c r="U75" s="38"/>
      <c r="V75" s="38"/>
    </row>
    <row r="76" spans="1:22" ht="12.75">
      <c r="A76" s="38"/>
      <c r="B76" s="38"/>
      <c r="C76" s="38"/>
      <c r="D76" s="38"/>
      <c r="E76" s="38"/>
      <c r="F76" s="38"/>
      <c r="G76" s="38"/>
      <c r="H76" s="38"/>
      <c r="I76" s="38"/>
      <c r="J76" s="38"/>
      <c r="K76" s="38"/>
      <c r="L76" s="38"/>
      <c r="M76" s="38"/>
      <c r="N76" s="38"/>
      <c r="O76" s="38"/>
      <c r="P76" s="38"/>
      <c r="Q76" s="38"/>
      <c r="R76" s="38"/>
      <c r="S76" s="38"/>
      <c r="T76" s="38"/>
      <c r="U76" s="38"/>
      <c r="V76" s="38"/>
    </row>
    <row r="77" spans="1:22" ht="12.75">
      <c r="A77" s="38"/>
      <c r="B77" s="38"/>
      <c r="C77" s="38"/>
      <c r="D77" s="38"/>
      <c r="E77" s="38"/>
      <c r="F77" s="38"/>
      <c r="G77" s="38"/>
      <c r="H77" s="38"/>
      <c r="I77" s="38"/>
      <c r="J77" s="38"/>
      <c r="K77" s="38"/>
      <c r="L77" s="38"/>
      <c r="M77" s="38"/>
      <c r="N77" s="38"/>
      <c r="O77" s="38"/>
      <c r="P77" s="38"/>
      <c r="Q77" s="38"/>
      <c r="R77" s="38"/>
      <c r="S77" s="38"/>
      <c r="T77" s="38"/>
      <c r="U77" s="38"/>
      <c r="V77" s="38"/>
    </row>
    <row r="78" spans="1:22" ht="12.75">
      <c r="A78" s="38"/>
      <c r="B78" s="38"/>
      <c r="C78" s="38"/>
      <c r="D78" s="38"/>
      <c r="E78" s="38"/>
      <c r="F78" s="38"/>
      <c r="G78" s="38"/>
      <c r="H78" s="38"/>
      <c r="I78" s="38"/>
      <c r="J78" s="38"/>
      <c r="K78" s="38"/>
      <c r="L78" s="38"/>
      <c r="M78" s="38"/>
      <c r="N78" s="38"/>
      <c r="O78" s="38"/>
      <c r="P78" s="38"/>
      <c r="Q78" s="38"/>
      <c r="R78" s="38"/>
      <c r="S78" s="38"/>
      <c r="T78" s="38"/>
      <c r="U78" s="38"/>
      <c r="V78" s="38"/>
    </row>
    <row r="79" spans="1:22" ht="12.75">
      <c r="A79" s="38"/>
      <c r="B79" s="38"/>
      <c r="C79" s="38"/>
      <c r="D79" s="38"/>
      <c r="E79" s="38"/>
      <c r="F79" s="38"/>
      <c r="G79" s="38"/>
      <c r="H79" s="38"/>
      <c r="I79" s="38"/>
      <c r="J79" s="38"/>
      <c r="K79" s="38"/>
      <c r="L79" s="38"/>
      <c r="M79" s="38"/>
      <c r="N79" s="38"/>
      <c r="O79" s="38"/>
      <c r="P79" s="38"/>
      <c r="Q79" s="38"/>
      <c r="R79" s="38"/>
      <c r="S79" s="38"/>
      <c r="T79" s="38"/>
      <c r="U79" s="38"/>
      <c r="V79" s="38"/>
    </row>
    <row r="80" spans="1:22" ht="12.75">
      <c r="A80" s="38"/>
      <c r="B80" s="38"/>
      <c r="C80" s="38"/>
      <c r="D80" s="38"/>
      <c r="E80" s="38"/>
      <c r="F80" s="38"/>
      <c r="G80" s="38"/>
      <c r="H80" s="38"/>
      <c r="I80" s="38"/>
      <c r="J80" s="38"/>
      <c r="K80" s="38"/>
      <c r="L80" s="38"/>
      <c r="M80" s="38"/>
      <c r="N80" s="38"/>
      <c r="O80" s="38"/>
      <c r="P80" s="38"/>
      <c r="Q80" s="38"/>
      <c r="R80" s="38"/>
      <c r="S80" s="38"/>
      <c r="T80" s="38"/>
      <c r="U80" s="38"/>
      <c r="V80" s="38"/>
    </row>
    <row r="81" spans="1:22" ht="12.75">
      <c r="A81" s="38"/>
      <c r="B81" s="38"/>
      <c r="C81" s="38"/>
      <c r="D81" s="38"/>
      <c r="E81" s="38"/>
      <c r="F81" s="38"/>
      <c r="G81" s="38"/>
      <c r="H81" s="38"/>
      <c r="I81" s="38"/>
      <c r="J81" s="38"/>
      <c r="K81" s="38"/>
      <c r="L81" s="38"/>
      <c r="M81" s="38"/>
      <c r="N81" s="38"/>
      <c r="O81" s="38"/>
      <c r="P81" s="38"/>
      <c r="Q81" s="38"/>
      <c r="R81" s="38"/>
      <c r="S81" s="38"/>
      <c r="T81" s="38"/>
      <c r="U81" s="38"/>
      <c r="V81" s="38"/>
    </row>
    <row r="82" spans="1:22" ht="12.75">
      <c r="A82" s="38"/>
      <c r="B82" s="38"/>
      <c r="C82" s="38"/>
      <c r="D82" s="38"/>
      <c r="E82" s="38"/>
      <c r="F82" s="38"/>
      <c r="G82" s="38"/>
      <c r="H82" s="38"/>
      <c r="I82" s="38"/>
      <c r="J82" s="38"/>
      <c r="K82" s="38"/>
      <c r="L82" s="38"/>
      <c r="M82" s="38"/>
      <c r="N82" s="38"/>
      <c r="O82" s="38"/>
      <c r="P82" s="38"/>
      <c r="Q82" s="38"/>
      <c r="R82" s="38"/>
      <c r="S82" s="38"/>
      <c r="T82" s="38"/>
      <c r="U82" s="38"/>
      <c r="V82" s="38"/>
    </row>
    <row r="83" spans="1:22" ht="12.75">
      <c r="A83" s="38"/>
      <c r="B83" s="38"/>
      <c r="C83" s="38"/>
      <c r="D83" s="38"/>
      <c r="E83" s="38"/>
      <c r="F83" s="38"/>
      <c r="G83" s="38"/>
      <c r="H83" s="38"/>
      <c r="I83" s="38"/>
      <c r="J83" s="38"/>
      <c r="K83" s="38"/>
      <c r="L83" s="38"/>
      <c r="M83" s="38"/>
      <c r="N83" s="38"/>
      <c r="O83" s="38"/>
      <c r="P83" s="38"/>
      <c r="Q83" s="38"/>
      <c r="R83" s="38"/>
      <c r="S83" s="38"/>
      <c r="T83" s="38"/>
      <c r="U83" s="38"/>
      <c r="V83" s="38"/>
    </row>
    <row r="84" spans="1:22" ht="12.75">
      <c r="A84" s="38"/>
      <c r="B84" s="38"/>
      <c r="C84" s="38"/>
      <c r="D84" s="38"/>
      <c r="E84" s="38"/>
      <c r="F84" s="38"/>
      <c r="G84" s="38"/>
      <c r="H84" s="38"/>
      <c r="I84" s="38"/>
      <c r="J84" s="38"/>
      <c r="K84" s="38"/>
      <c r="L84" s="38"/>
      <c r="M84" s="38"/>
      <c r="N84" s="38"/>
      <c r="O84" s="38"/>
      <c r="P84" s="38"/>
      <c r="Q84" s="38"/>
      <c r="R84" s="38"/>
      <c r="S84" s="38"/>
      <c r="T84" s="38"/>
      <c r="U84" s="38"/>
      <c r="V84" s="38"/>
    </row>
    <row r="85" spans="1:22" ht="12.75" customHeight="1">
      <c r="A85" s="38"/>
      <c r="B85" s="38"/>
      <c r="C85" s="38"/>
      <c r="D85" s="38"/>
      <c r="E85" s="38"/>
      <c r="F85" s="38"/>
      <c r="G85" s="38"/>
      <c r="H85" s="38"/>
      <c r="I85" s="38"/>
      <c r="J85" s="38"/>
      <c r="K85" s="38"/>
      <c r="L85" s="38"/>
      <c r="M85" s="38"/>
      <c r="N85" s="38"/>
      <c r="O85" s="38"/>
      <c r="P85" s="38"/>
      <c r="Q85" s="38"/>
      <c r="R85" s="38"/>
      <c r="S85" s="38"/>
      <c r="T85" s="38"/>
      <c r="U85" s="38"/>
      <c r="V85" s="38"/>
    </row>
    <row r="86" spans="1:22" ht="12.75" customHeight="1">
      <c r="A86" s="38"/>
      <c r="B86" s="38"/>
      <c r="C86" s="38"/>
      <c r="D86" s="38"/>
      <c r="E86" s="38"/>
      <c r="F86" s="38"/>
      <c r="G86" s="38"/>
      <c r="H86" s="38"/>
      <c r="I86" s="38"/>
      <c r="J86" s="38"/>
      <c r="K86" s="38"/>
      <c r="L86" s="38"/>
      <c r="M86" s="38"/>
      <c r="N86" s="38"/>
      <c r="O86" s="38"/>
      <c r="P86" s="38"/>
      <c r="Q86" s="38"/>
      <c r="R86" s="38"/>
      <c r="S86" s="38"/>
      <c r="T86" s="38"/>
      <c r="U86" s="38"/>
      <c r="V86" s="38"/>
    </row>
    <row r="87" spans="1:22" ht="12.75" customHeight="1">
      <c r="A87" s="38"/>
      <c r="B87" s="38"/>
      <c r="C87" s="38"/>
      <c r="D87" s="38"/>
      <c r="E87" s="38"/>
      <c r="F87" s="38"/>
      <c r="G87" s="38"/>
      <c r="H87" s="38"/>
      <c r="I87" s="38"/>
      <c r="J87" s="38"/>
      <c r="K87" s="38"/>
      <c r="L87" s="38"/>
      <c r="M87" s="38"/>
      <c r="N87" s="38"/>
      <c r="O87" s="38"/>
      <c r="P87" s="38"/>
      <c r="Q87" s="38"/>
      <c r="R87" s="38"/>
      <c r="S87" s="38"/>
      <c r="T87" s="38"/>
      <c r="U87" s="38"/>
      <c r="V87" s="38"/>
    </row>
    <row r="88" spans="1:22" ht="12.75">
      <c r="A88" s="38"/>
      <c r="B88" s="38"/>
      <c r="C88" s="38"/>
      <c r="D88" s="38"/>
      <c r="E88" s="38"/>
      <c r="F88" s="38"/>
      <c r="G88" s="38"/>
      <c r="H88" s="38"/>
      <c r="I88" s="38"/>
      <c r="J88" s="38"/>
      <c r="K88" s="38"/>
      <c r="L88" s="38"/>
      <c r="M88" s="38"/>
      <c r="N88" s="38"/>
      <c r="O88" s="38"/>
      <c r="P88" s="38"/>
      <c r="Q88" s="38"/>
      <c r="R88" s="38"/>
      <c r="S88" s="38"/>
      <c r="T88" s="38"/>
      <c r="U88" s="38"/>
      <c r="V88" s="38"/>
    </row>
    <row r="89" spans="1:22" ht="12.75">
      <c r="A89" s="38"/>
      <c r="B89" s="38"/>
      <c r="C89" s="38"/>
      <c r="D89" s="38"/>
      <c r="E89" s="38"/>
      <c r="F89" s="38"/>
      <c r="G89" s="38"/>
      <c r="H89" s="38"/>
      <c r="I89" s="38"/>
      <c r="J89" s="38"/>
      <c r="K89" s="38"/>
      <c r="L89" s="38"/>
      <c r="M89" s="38"/>
      <c r="N89" s="38"/>
      <c r="O89" s="38"/>
      <c r="P89" s="38"/>
      <c r="Q89" s="38"/>
      <c r="R89" s="38"/>
      <c r="S89" s="38"/>
      <c r="T89" s="38"/>
      <c r="U89" s="38"/>
      <c r="V89" s="38"/>
    </row>
    <row r="90" spans="1:22" ht="12.75">
      <c r="A90" s="38"/>
      <c r="B90" s="38"/>
      <c r="C90" s="38"/>
      <c r="D90" s="38"/>
      <c r="E90" s="38"/>
      <c r="F90" s="38"/>
      <c r="G90" s="38"/>
      <c r="H90" s="38"/>
      <c r="I90" s="38"/>
      <c r="J90" s="38"/>
      <c r="K90" s="38"/>
      <c r="L90" s="38"/>
      <c r="M90" s="38"/>
      <c r="N90" s="38"/>
      <c r="O90" s="38"/>
      <c r="P90" s="38"/>
      <c r="Q90" s="38"/>
      <c r="R90" s="38"/>
      <c r="S90" s="38"/>
      <c r="T90" s="38"/>
      <c r="U90" s="38"/>
      <c r="V90" s="38"/>
    </row>
    <row r="91" spans="1:22" ht="12.75">
      <c r="A91" s="38"/>
      <c r="B91" s="38"/>
      <c r="C91" s="38"/>
      <c r="D91" s="38"/>
      <c r="E91" s="38"/>
      <c r="F91" s="38"/>
      <c r="G91" s="38"/>
      <c r="H91" s="38"/>
      <c r="I91" s="38"/>
      <c r="J91" s="38"/>
      <c r="K91" s="38"/>
      <c r="L91" s="38"/>
      <c r="M91" s="38"/>
      <c r="N91" s="38"/>
      <c r="O91" s="38"/>
      <c r="P91" s="38"/>
      <c r="Q91" s="38"/>
      <c r="R91" s="38"/>
      <c r="S91" s="38"/>
      <c r="T91" s="38"/>
      <c r="U91" s="38"/>
      <c r="V91" s="38"/>
    </row>
    <row r="92" spans="1:22" ht="12.75">
      <c r="A92" s="38"/>
      <c r="B92" s="38"/>
      <c r="C92" s="38"/>
      <c r="D92" s="38"/>
      <c r="E92" s="38"/>
      <c r="F92" s="38"/>
      <c r="G92" s="38"/>
      <c r="H92" s="38"/>
      <c r="I92" s="38"/>
      <c r="J92" s="38"/>
      <c r="K92" s="38"/>
      <c r="L92" s="38"/>
      <c r="M92" s="38"/>
      <c r="N92" s="38"/>
      <c r="O92" s="38"/>
      <c r="P92" s="38"/>
      <c r="Q92" s="38"/>
      <c r="R92" s="38"/>
      <c r="S92" s="38"/>
      <c r="T92" s="38"/>
      <c r="U92" s="38"/>
      <c r="V92" s="38"/>
    </row>
    <row r="93" spans="1:22" ht="12.75">
      <c r="A93" s="38"/>
      <c r="B93" s="38"/>
      <c r="C93" s="38"/>
      <c r="D93" s="38"/>
      <c r="E93" s="38"/>
      <c r="F93" s="38"/>
      <c r="G93" s="38"/>
      <c r="H93" s="38"/>
      <c r="I93" s="38"/>
      <c r="J93" s="38"/>
      <c r="K93" s="38"/>
      <c r="L93" s="38"/>
      <c r="M93" s="38"/>
      <c r="N93" s="38"/>
      <c r="O93" s="38"/>
      <c r="P93" s="38"/>
      <c r="Q93" s="38"/>
      <c r="R93" s="38"/>
      <c r="S93" s="38"/>
      <c r="T93" s="38"/>
      <c r="U93" s="38"/>
      <c r="V93" s="38"/>
    </row>
    <row r="94" spans="1:22" ht="12.75">
      <c r="A94" s="38"/>
      <c r="B94" s="38"/>
      <c r="C94" s="38"/>
      <c r="D94" s="38"/>
      <c r="E94" s="38"/>
      <c r="F94" s="38"/>
      <c r="G94" s="38"/>
      <c r="H94" s="38"/>
      <c r="I94" s="38"/>
      <c r="J94" s="38"/>
      <c r="K94" s="38"/>
      <c r="L94" s="38"/>
      <c r="M94" s="38"/>
      <c r="N94" s="38"/>
      <c r="O94" s="38"/>
      <c r="P94" s="38"/>
      <c r="Q94" s="38"/>
      <c r="R94" s="38"/>
      <c r="S94" s="38"/>
      <c r="T94" s="38"/>
      <c r="U94" s="38"/>
      <c r="V94" s="38"/>
    </row>
    <row r="95" spans="1:22" ht="12.75">
      <c r="A95" s="38"/>
      <c r="B95" s="38"/>
      <c r="C95" s="38"/>
      <c r="D95" s="38"/>
      <c r="E95" s="38"/>
      <c r="F95" s="38"/>
      <c r="G95" s="38"/>
      <c r="H95" s="38"/>
      <c r="I95" s="38"/>
      <c r="J95" s="38"/>
      <c r="K95" s="38"/>
      <c r="L95" s="38"/>
      <c r="M95" s="38"/>
      <c r="N95" s="38"/>
      <c r="O95" s="38"/>
      <c r="P95" s="38"/>
      <c r="Q95" s="38"/>
      <c r="R95" s="38"/>
      <c r="S95" s="38"/>
      <c r="T95" s="38"/>
      <c r="U95" s="38"/>
      <c r="V95" s="38"/>
    </row>
    <row r="96" spans="1:22" ht="12.75">
      <c r="A96" s="38"/>
      <c r="B96" s="38"/>
      <c r="C96" s="38"/>
      <c r="D96" s="38"/>
      <c r="E96" s="38"/>
      <c r="F96" s="38"/>
      <c r="G96" s="38"/>
      <c r="H96" s="38"/>
      <c r="I96" s="38"/>
      <c r="J96" s="38"/>
      <c r="K96" s="38"/>
      <c r="L96" s="38"/>
      <c r="M96" s="38"/>
      <c r="N96" s="38"/>
      <c r="O96" s="38"/>
      <c r="P96" s="38"/>
      <c r="Q96" s="38"/>
      <c r="R96" s="38"/>
      <c r="S96" s="38"/>
      <c r="T96" s="38"/>
      <c r="U96" s="38"/>
      <c r="V96" s="38"/>
    </row>
    <row r="97" spans="1:22" ht="12.75">
      <c r="A97" s="38"/>
      <c r="B97" s="38"/>
      <c r="C97" s="38"/>
      <c r="D97" s="38"/>
      <c r="E97" s="38"/>
      <c r="F97" s="38"/>
      <c r="G97" s="38"/>
      <c r="H97" s="38"/>
      <c r="I97" s="38"/>
      <c r="J97" s="38"/>
      <c r="K97" s="38"/>
      <c r="L97" s="38"/>
      <c r="M97" s="38"/>
      <c r="N97" s="38"/>
      <c r="O97" s="38"/>
      <c r="P97" s="38"/>
      <c r="Q97" s="38"/>
      <c r="R97" s="38"/>
      <c r="S97" s="38"/>
      <c r="T97" s="38"/>
      <c r="U97" s="38"/>
      <c r="V97" s="38"/>
    </row>
    <row r="98" spans="1:22" ht="12.75">
      <c r="A98" s="38"/>
      <c r="B98" s="38"/>
      <c r="C98" s="38"/>
      <c r="D98" s="38"/>
      <c r="E98" s="38"/>
      <c r="F98" s="38"/>
      <c r="G98" s="38"/>
      <c r="H98" s="38"/>
      <c r="I98" s="38"/>
      <c r="J98" s="38"/>
      <c r="K98" s="38"/>
      <c r="L98" s="38"/>
      <c r="M98" s="38"/>
      <c r="N98" s="38"/>
      <c r="O98" s="38"/>
      <c r="P98" s="38"/>
      <c r="Q98" s="38"/>
      <c r="R98" s="38"/>
      <c r="S98" s="38"/>
      <c r="T98" s="38"/>
      <c r="U98" s="38"/>
      <c r="V98" s="38"/>
    </row>
  </sheetData>
  <mergeCells count="6">
    <mergeCell ref="A2:N2"/>
    <mergeCell ref="A3:N3"/>
    <mergeCell ref="A5:N5"/>
    <mergeCell ref="C47:J47"/>
    <mergeCell ref="C49:J49"/>
    <mergeCell ref="A4:N4"/>
  </mergeCells>
  <phoneticPr fontId="0" type="noConversion"/>
  <printOptions horizontalCentered="1"/>
  <pageMargins left="0.25" right="0.25" top="1" bottom="0.25" header="0.67" footer="0.5"/>
  <pageSetup scale="50" orientation="portrait" r:id="rId1"/>
  <headerFooter alignWithMargins="0">
    <oddHeader xml:space="preserve">&amp;R&amp;12AEP - SPP Formula Rate
TCOS - WS H
Page: &amp;P of &amp;N&amp;10
</oddHeader>
    <oddFooter xml:space="preserve">&amp;C &amp;R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29"/>
  <sheetViews>
    <sheetView zoomScale="81" zoomScaleNormal="81" zoomScaleSheetLayoutView="100" zoomScalePageLayoutView="81" workbookViewId="0">
      <selection activeCell="O34" sqref="O34"/>
    </sheetView>
  </sheetViews>
  <sheetFormatPr defaultRowHeight="12.75"/>
  <cols>
    <col min="1" max="1" width="3.5703125" style="163" customWidth="1"/>
    <col min="2" max="2" width="7.28515625" style="163" customWidth="1"/>
    <col min="3" max="3" width="2.42578125" style="163" customWidth="1"/>
    <col min="4" max="4" width="29.42578125" style="163" customWidth="1"/>
    <col min="5" max="5" width="26.42578125" style="163" customWidth="1"/>
    <col min="6" max="6" width="24.140625" style="163" bestFit="1" customWidth="1"/>
    <col min="7" max="7" width="22.85546875" style="163" customWidth="1"/>
    <col min="8" max="8" width="7.42578125" style="163" customWidth="1"/>
    <col min="9" max="16384" width="9.140625" style="163"/>
  </cols>
  <sheetData>
    <row r="1" spans="1:11" ht="19.5" customHeight="1">
      <c r="A1" s="1556" t="str">
        <f>+'PSO TCOS'!F3</f>
        <v xml:space="preserve">AEP West SPP Member Operating Companies </v>
      </c>
      <c r="B1" s="1556"/>
      <c r="C1" s="1556"/>
      <c r="D1" s="1556"/>
      <c r="E1" s="1556"/>
      <c r="F1" s="1556"/>
      <c r="G1" s="1556"/>
      <c r="H1" s="1556"/>
      <c r="I1" s="51"/>
      <c r="J1" s="51"/>
      <c r="K1" s="51"/>
    </row>
    <row r="2" spans="1:11" ht="15">
      <c r="A2" s="1553" t="str">
        <f>+'PSO WS A RB Support '!A2:G2</f>
        <v xml:space="preserve">Actual / Projected 2019 Rate Year Cost of Service Formula Rate </v>
      </c>
      <c r="B2" s="1553"/>
      <c r="C2" s="1553"/>
      <c r="D2" s="1553"/>
      <c r="E2" s="1553"/>
      <c r="F2" s="1553"/>
      <c r="G2" s="1553"/>
      <c r="H2" s="1553"/>
      <c r="I2" s="420"/>
      <c r="J2" s="420"/>
      <c r="K2" s="420"/>
    </row>
    <row r="3" spans="1:11" ht="15.75">
      <c r="A3" s="1554" t="s">
        <v>133</v>
      </c>
      <c r="B3" s="1553"/>
      <c r="C3" s="1553"/>
      <c r="D3" s="1553"/>
      <c r="E3" s="1553"/>
      <c r="F3" s="1553"/>
      <c r="G3" s="1553"/>
      <c r="H3" s="1553"/>
      <c r="I3" s="420"/>
      <c r="J3" s="420"/>
      <c r="K3" s="420"/>
    </row>
    <row r="4" spans="1:11" ht="15.75">
      <c r="A4" s="1574" t="str">
        <f>+'PSO TCOS'!F7</f>
        <v>PUBLIC SERVICE COMPANY OF OKLAHOMA</v>
      </c>
      <c r="B4" s="1574"/>
      <c r="C4" s="1574"/>
      <c r="D4" s="1574"/>
      <c r="E4" s="1574"/>
      <c r="F4" s="1574"/>
      <c r="G4" s="1574"/>
      <c r="H4" s="1574"/>
      <c r="I4" s="421"/>
      <c r="J4" s="421"/>
      <c r="K4" s="421"/>
    </row>
    <row r="5" spans="1:11" ht="15">
      <c r="D5" s="38"/>
      <c r="G5" s="192"/>
      <c r="H5" s="51"/>
      <c r="I5" s="51"/>
    </row>
    <row r="6" spans="1:11" ht="54" customHeight="1">
      <c r="A6" s="820"/>
      <c r="B6" s="1598" t="s">
        <v>1149</v>
      </c>
      <c r="C6" s="1598"/>
      <c r="D6" s="1598"/>
      <c r="E6" s="1598"/>
      <c r="F6" s="1598"/>
      <c r="G6" s="1598"/>
      <c r="H6" s="820"/>
      <c r="I6" s="51"/>
    </row>
    <row r="7" spans="1:11" ht="18">
      <c r="A7" s="385"/>
      <c r="B7" s="385"/>
      <c r="C7" s="385"/>
      <c r="D7" s="385"/>
      <c r="E7" s="385"/>
      <c r="F7" s="385"/>
      <c r="G7" s="385"/>
      <c r="H7" s="385"/>
      <c r="I7" s="51"/>
    </row>
    <row r="8" spans="1:11" ht="18">
      <c r="A8" s="385"/>
      <c r="B8" s="385"/>
      <c r="C8" s="385"/>
      <c r="D8" s="385"/>
      <c r="E8" s="385"/>
      <c r="F8" s="385"/>
      <c r="G8" s="385"/>
      <c r="H8" s="385"/>
      <c r="I8" s="51"/>
    </row>
    <row r="9" spans="1:11" ht="18">
      <c r="A9" s="385"/>
      <c r="B9" s="181" t="s">
        <v>345</v>
      </c>
      <c r="D9" s="1597" t="s">
        <v>338</v>
      </c>
      <c r="E9" s="1597"/>
      <c r="G9" s="113" t="s">
        <v>339</v>
      </c>
      <c r="H9" s="385"/>
      <c r="I9" s="51"/>
    </row>
    <row r="10" spans="1:11" ht="18">
      <c r="A10" s="385"/>
      <c r="B10" s="181" t="s">
        <v>283</v>
      </c>
      <c r="D10" s="1596" t="s">
        <v>343</v>
      </c>
      <c r="E10" s="1596"/>
      <c r="G10" s="181">
        <f>+'PSO TCOS'!N1</f>
        <v>2019</v>
      </c>
      <c r="H10" s="385"/>
      <c r="I10" s="51"/>
    </row>
    <row r="11" spans="1:11" ht="15">
      <c r="B11" s="199">
        <v>1</v>
      </c>
      <c r="C11" s="899"/>
      <c r="H11" s="51"/>
      <c r="I11" s="51"/>
    </row>
    <row r="12" spans="1:11" ht="15">
      <c r="B12" s="199">
        <f t="shared" ref="B12:B19" si="0">B11+1</f>
        <v>2</v>
      </c>
      <c r="D12" s="713"/>
      <c r="E12" s="1027"/>
      <c r="G12" s="1001"/>
      <c r="H12" s="51"/>
      <c r="I12" s="51"/>
    </row>
    <row r="13" spans="1:11" ht="15">
      <c r="B13" s="199">
        <f t="shared" si="0"/>
        <v>3</v>
      </c>
      <c r="D13" s="713"/>
      <c r="E13" s="1027"/>
      <c r="G13" s="1001"/>
      <c r="H13" s="51"/>
      <c r="I13" s="51"/>
    </row>
    <row r="14" spans="1:11" ht="15">
      <c r="B14" s="199">
        <f t="shared" si="0"/>
        <v>4</v>
      </c>
      <c r="D14" s="713"/>
      <c r="E14" s="1027"/>
      <c r="G14" s="1001"/>
      <c r="H14" s="51"/>
      <c r="I14" s="51"/>
    </row>
    <row r="15" spans="1:11" ht="15">
      <c r="B15" s="199">
        <f t="shared" si="0"/>
        <v>5</v>
      </c>
      <c r="D15" s="713"/>
      <c r="E15" s="1027"/>
      <c r="G15" s="1001"/>
      <c r="H15" s="51"/>
      <c r="I15" s="51"/>
    </row>
    <row r="16" spans="1:11" ht="15">
      <c r="B16" s="199">
        <f t="shared" si="0"/>
        <v>6</v>
      </c>
      <c r="D16" s="713"/>
      <c r="E16" s="1027"/>
      <c r="G16" s="1001"/>
      <c r="H16" s="51"/>
      <c r="I16" s="51"/>
    </row>
    <row r="17" spans="2:9" ht="15">
      <c r="B17" s="199">
        <f t="shared" si="0"/>
        <v>7</v>
      </c>
      <c r="D17" s="713"/>
      <c r="E17" s="1027"/>
      <c r="G17" s="1001"/>
      <c r="H17" s="51"/>
      <c r="I17" s="51"/>
    </row>
    <row r="18" spans="2:9" ht="15">
      <c r="B18" s="199">
        <f t="shared" si="0"/>
        <v>8</v>
      </c>
      <c r="D18" s="713"/>
      <c r="E18" s="1027"/>
      <c r="G18" s="1001"/>
      <c r="H18" s="51"/>
      <c r="I18" s="51"/>
    </row>
    <row r="19" spans="2:9" ht="15">
      <c r="B19" s="199">
        <f t="shared" si="0"/>
        <v>9</v>
      </c>
      <c r="D19" s="713"/>
      <c r="E19" s="1027"/>
      <c r="G19" s="1001"/>
      <c r="H19" s="51"/>
      <c r="I19" s="51"/>
    </row>
    <row r="20" spans="2:9" ht="15">
      <c r="B20" s="199">
        <f>+B19+1</f>
        <v>10</v>
      </c>
      <c r="D20" s="200" t="s">
        <v>295</v>
      </c>
      <c r="F20" s="163" t="str">
        <f>"( sum of lines "&amp;B12&amp;"  through "&amp;B19&amp;" )"</f>
        <v>( sum of lines 2  through 9 )</v>
      </c>
      <c r="G20" s="201">
        <f>SUM(G12:G19)</f>
        <v>0</v>
      </c>
      <c r="H20" s="51"/>
      <c r="I20" s="51"/>
    </row>
    <row r="21" spans="2:9" ht="15">
      <c r="B21" s="199"/>
      <c r="G21" s="202"/>
      <c r="H21" s="51"/>
      <c r="I21" s="51"/>
    </row>
    <row r="22" spans="2:9" s="520" customFormat="1" ht="15" customHeight="1"/>
    <row r="23" spans="2:9" s="520" customFormat="1"/>
    <row r="24" spans="2:9" s="520" customFormat="1"/>
    <row r="25" spans="2:9" s="520" customFormat="1" ht="23.25" customHeight="1"/>
    <row r="26" spans="2:9" s="520" customFormat="1"/>
    <row r="27" spans="2:9" s="520" customFormat="1"/>
    <row r="28" spans="2:9" s="520" customFormat="1"/>
    <row r="29" spans="2:9" s="520" customFormat="1"/>
  </sheetData>
  <mergeCells count="7">
    <mergeCell ref="D10:E10"/>
    <mergeCell ref="A1:H1"/>
    <mergeCell ref="A2:H2"/>
    <mergeCell ref="A3:H3"/>
    <mergeCell ref="A4:H4"/>
    <mergeCell ref="D9:E9"/>
    <mergeCell ref="B6:G6"/>
  </mergeCells>
  <phoneticPr fontId="0" type="noConversion"/>
  <printOptions horizontalCentered="1"/>
  <pageMargins left="0.75" right="0.75" top="1" bottom="0.25" header="0.65" footer="0.5"/>
  <pageSetup scale="72" orientation="portrait" r:id="rId1"/>
  <headerFooter alignWithMargins="0">
    <oddHeader xml:space="preserve">&amp;R&amp;12AEP - SPP Formula Rate
TCOS - WS I
Page: &amp;P of &amp;N&amp;16
</oddHeader>
    <oddFooter xml:space="preserve">&amp;C &amp;R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88"/>
  <sheetViews>
    <sheetView topLeftCell="A7" zoomScale="81" zoomScaleNormal="81" zoomScaleSheetLayoutView="88" zoomScalePageLayoutView="70" workbookViewId="0">
      <selection activeCell="O34" sqref="O34"/>
    </sheetView>
  </sheetViews>
  <sheetFormatPr defaultColWidth="11.42578125" defaultRowHeight="15"/>
  <cols>
    <col min="1" max="1" width="4.140625" style="15" customWidth="1"/>
    <col min="2" max="2" width="5.85546875" style="3" bestFit="1" customWidth="1"/>
    <col min="3" max="3" width="2" style="15" customWidth="1"/>
    <col min="4" max="4" width="47.7109375" style="15" customWidth="1"/>
    <col min="5" max="5" width="25.7109375" style="15" customWidth="1"/>
    <col min="6" max="6" width="12.5703125" style="15" customWidth="1"/>
    <col min="7" max="7" width="26.5703125" style="15" customWidth="1"/>
    <col min="8" max="8" width="2.7109375" style="15" customWidth="1"/>
    <col min="9" max="9" width="19.42578125" style="15" bestFit="1" customWidth="1"/>
    <col min="10" max="10" width="2.7109375" style="15" customWidth="1"/>
    <col min="11" max="11" width="18" style="15" bestFit="1" customWidth="1"/>
    <col min="12" max="12" width="2.5703125" style="15" customWidth="1"/>
    <col min="13" max="13" width="21.7109375" style="15" customWidth="1"/>
    <col min="14" max="14" width="11.28515625" style="15" customWidth="1"/>
    <col min="15" max="15" width="17.28515625" style="15" customWidth="1"/>
    <col min="16" max="16" width="13.7109375" style="15" customWidth="1"/>
    <col min="17" max="17" width="13.85546875" style="15" customWidth="1"/>
    <col min="18" max="18" width="11.42578125" style="15"/>
    <col min="19" max="19" width="16.42578125" style="15" customWidth="1"/>
    <col min="20" max="16384" width="11.42578125" style="15"/>
  </cols>
  <sheetData>
    <row r="1" spans="1:23">
      <c r="A1" s="731"/>
      <c r="B1" s="731"/>
      <c r="C1" s="731"/>
      <c r="D1" s="731"/>
      <c r="E1" s="731"/>
      <c r="F1" s="731"/>
      <c r="G1" s="731"/>
      <c r="H1" s="731"/>
      <c r="J1" s="731"/>
      <c r="K1" s="731"/>
      <c r="L1" s="731"/>
      <c r="M1" s="251"/>
      <c r="N1" s="732"/>
    </row>
    <row r="2" spans="1:23">
      <c r="B2" s="37"/>
      <c r="C2" s="5"/>
      <c r="D2" s="5"/>
      <c r="E2" s="5"/>
      <c r="F2" s="5"/>
      <c r="G2" s="5"/>
      <c r="H2" s="5"/>
      <c r="J2" s="5"/>
      <c r="K2" s="5"/>
      <c r="L2" s="5"/>
      <c r="M2" s="251"/>
    </row>
    <row r="3" spans="1:23">
      <c r="B3" s="37"/>
      <c r="C3" s="5"/>
      <c r="D3" s="14"/>
      <c r="E3" s="14"/>
      <c r="F3" s="191" t="s">
        <v>1121</v>
      </c>
      <c r="G3" s="734"/>
      <c r="H3" s="734"/>
      <c r="K3" s="14"/>
      <c r="L3" s="7"/>
    </row>
    <row r="4" spans="1:23">
      <c r="B4" s="37"/>
      <c r="C4" s="5"/>
      <c r="D4" s="14"/>
      <c r="E4" s="8"/>
      <c r="F4" s="764" t="s">
        <v>588</v>
      </c>
      <c r="G4" s="734"/>
      <c r="H4" s="734"/>
      <c r="K4" s="8"/>
      <c r="L4" s="7"/>
    </row>
    <row r="5" spans="1:23">
      <c r="B5" s="37"/>
      <c r="C5" s="5"/>
      <c r="D5" s="7" t="s">
        <v>589</v>
      </c>
      <c r="E5" s="7"/>
      <c r="F5" s="733" t="str">
        <f>"For the "&amp;'PSO TCOS'!$N$1&amp;" Rate Year "</f>
        <v xml:space="preserve">For the 2019 Rate Year </v>
      </c>
      <c r="G5" s="734"/>
      <c r="H5" s="734"/>
      <c r="K5" s="7"/>
      <c r="L5" s="7"/>
      <c r="M5" s="7"/>
    </row>
    <row r="6" spans="1:23">
      <c r="B6" s="35"/>
      <c r="C6" s="30"/>
      <c r="D6" s="7"/>
      <c r="H6" s="379"/>
      <c r="J6" s="379"/>
      <c r="K6" s="379"/>
      <c r="L6" s="379"/>
      <c r="M6" s="7"/>
    </row>
    <row r="7" spans="1:23" ht="15.75">
      <c r="B7" s="35"/>
      <c r="C7" s="30"/>
      <c r="D7" s="7"/>
      <c r="F7" s="377" t="s">
        <v>1422</v>
      </c>
      <c r="G7" s="190"/>
      <c r="H7" s="7"/>
      <c r="J7" s="7"/>
      <c r="K7" s="7"/>
      <c r="L7" s="7"/>
      <c r="O7" s="597"/>
      <c r="P7" s="597"/>
      <c r="Q7" s="597"/>
      <c r="R7" s="597"/>
      <c r="S7" s="597"/>
      <c r="T7" s="597"/>
      <c r="U7" s="597"/>
      <c r="V7" s="597"/>
      <c r="W7" s="597"/>
    </row>
    <row r="8" spans="1:23" ht="15.75">
      <c r="B8" s="35"/>
      <c r="C8" s="30"/>
      <c r="D8" s="7"/>
      <c r="E8" s="7"/>
      <c r="F8" s="379"/>
      <c r="G8" s="190"/>
      <c r="H8" s="7"/>
      <c r="I8" s="735" t="s">
        <v>141</v>
      </c>
      <c r="J8" s="7"/>
      <c r="K8" s="380" t="s">
        <v>590</v>
      </c>
      <c r="L8" s="380"/>
      <c r="M8" s="736" t="s">
        <v>591</v>
      </c>
      <c r="O8" s="597"/>
      <c r="P8" s="597"/>
      <c r="Q8" s="597"/>
      <c r="R8" s="597"/>
      <c r="S8" s="597"/>
      <c r="T8" s="597"/>
      <c r="U8" s="597"/>
      <c r="V8" s="597"/>
      <c r="W8" s="597"/>
    </row>
    <row r="9" spans="1:23" ht="15.75">
      <c r="B9" s="35" t="s">
        <v>345</v>
      </c>
      <c r="C9" s="30"/>
      <c r="D9" s="7"/>
      <c r="E9" s="7"/>
      <c r="F9" s="380"/>
      <c r="G9" s="190"/>
      <c r="H9" s="7"/>
      <c r="I9" s="735" t="s">
        <v>45</v>
      </c>
      <c r="J9" s="7"/>
      <c r="K9" s="380" t="s">
        <v>45</v>
      </c>
      <c r="L9" s="380"/>
      <c r="M9" s="380" t="s">
        <v>45</v>
      </c>
      <c r="O9" s="597"/>
      <c r="P9" s="597"/>
      <c r="Q9" s="597"/>
      <c r="R9" s="597"/>
      <c r="S9" s="597"/>
      <c r="T9" s="597"/>
      <c r="U9" s="597"/>
      <c r="V9" s="597"/>
      <c r="W9" s="597"/>
    </row>
    <row r="10" spans="1:23" ht="16.5" thickBot="1">
      <c r="B10" s="381" t="s">
        <v>294</v>
      </c>
      <c r="C10" s="25"/>
      <c r="D10" s="7"/>
      <c r="E10" s="25"/>
      <c r="F10" s="7"/>
      <c r="G10" s="7"/>
      <c r="H10" s="7"/>
      <c r="I10" s="735" t="s">
        <v>144</v>
      </c>
      <c r="J10" s="7"/>
      <c r="K10" s="735" t="s">
        <v>144</v>
      </c>
      <c r="L10" s="380"/>
      <c r="M10" s="735" t="s">
        <v>144</v>
      </c>
      <c r="O10" s="597"/>
      <c r="P10" s="597"/>
      <c r="Q10" s="597"/>
      <c r="R10" s="597"/>
      <c r="S10" s="597"/>
      <c r="T10" s="597"/>
      <c r="U10" s="597"/>
      <c r="V10" s="597"/>
      <c r="W10" s="597"/>
    </row>
    <row r="11" spans="1:23">
      <c r="B11" s="254"/>
      <c r="C11" s="25"/>
      <c r="D11" s="7"/>
      <c r="E11" s="25"/>
      <c r="F11" s="7"/>
      <c r="G11" s="7"/>
      <c r="H11" s="7"/>
      <c r="J11" s="7"/>
      <c r="L11" s="7"/>
      <c r="O11" s="597"/>
      <c r="P11" s="597"/>
      <c r="Q11" s="597"/>
      <c r="R11" s="597"/>
      <c r="S11" s="597"/>
      <c r="T11" s="597"/>
      <c r="U11" s="597"/>
      <c r="V11" s="597"/>
      <c r="W11" s="597"/>
    </row>
    <row r="12" spans="1:23" ht="15.75">
      <c r="A12" s="735" t="s">
        <v>145</v>
      </c>
      <c r="B12" s="1074" t="s">
        <v>592</v>
      </c>
      <c r="C12" s="25"/>
      <c r="D12" s="7"/>
      <c r="E12" s="25"/>
      <c r="F12" s="7"/>
      <c r="G12" s="7"/>
      <c r="H12" s="7"/>
      <c r="J12" s="7"/>
      <c r="L12" s="7"/>
      <c r="O12" s="597"/>
      <c r="P12" s="597"/>
      <c r="Q12" s="597"/>
      <c r="R12" s="597"/>
      <c r="S12" s="597"/>
      <c r="T12" s="597"/>
      <c r="U12" s="597"/>
      <c r="V12" s="597"/>
      <c r="W12" s="597"/>
    </row>
    <row r="13" spans="1:23" ht="15.75">
      <c r="A13" s="735"/>
      <c r="B13" s="254">
        <v>1</v>
      </c>
      <c r="C13" s="25"/>
      <c r="D13" s="739" t="s">
        <v>593</v>
      </c>
      <c r="E13" s="25"/>
      <c r="F13" s="7"/>
      <c r="G13" s="30" t="str">
        <f>"(TCOS Line "&amp;'PSO TCOS'!B11&amp;" )"</f>
        <v>(TCOS Line 1 )</v>
      </c>
      <c r="H13" s="7"/>
      <c r="I13" s="737">
        <f>+K13+M13</f>
        <v>276608707.30855942</v>
      </c>
      <c r="J13" s="7"/>
      <c r="K13" s="246">
        <f>+'PSO TCOS'!L11</f>
        <v>97521772.229186505</v>
      </c>
      <c r="L13" s="7"/>
      <c r="M13" s="246">
        <f>+'SWEPCO TCOS'!L11</f>
        <v>179086935.07937288</v>
      </c>
      <c r="N13" s="738"/>
      <c r="O13" s="597"/>
      <c r="P13" s="597"/>
      <c r="Q13" s="597"/>
      <c r="R13" s="597"/>
      <c r="S13" s="597"/>
      <c r="T13" s="597"/>
      <c r="U13" s="597"/>
      <c r="V13" s="597"/>
      <c r="W13" s="597"/>
    </row>
    <row r="14" spans="1:23" ht="15.75">
      <c r="A14" s="735"/>
      <c r="B14" s="254"/>
      <c r="C14" s="25"/>
      <c r="D14" s="739"/>
      <c r="E14" s="25"/>
      <c r="F14" s="7"/>
      <c r="G14" s="7"/>
      <c r="H14" s="7"/>
      <c r="I14" s="737"/>
      <c r="J14" s="7"/>
      <c r="K14" s="246"/>
      <c r="L14" s="7"/>
      <c r="M14" s="246"/>
      <c r="O14" s="597"/>
      <c r="P14" s="597"/>
      <c r="Q14" s="597"/>
      <c r="R14" s="597"/>
      <c r="S14" s="597"/>
      <c r="T14" s="597"/>
      <c r="U14" s="597"/>
      <c r="V14" s="597"/>
      <c r="W14" s="597"/>
    </row>
    <row r="15" spans="1:23" ht="15.75">
      <c r="A15" s="735"/>
      <c r="B15" s="254">
        <f>+B13+1</f>
        <v>2</v>
      </c>
      <c r="C15" s="25"/>
      <c r="D15" s="7" t="s">
        <v>595</v>
      </c>
      <c r="E15" s="25"/>
      <c r="F15" s="7"/>
      <c r="G15" s="30" t="str">
        <f>"(TCOS Line "&amp;'PSO TCOS'!B13&amp;" )"</f>
        <v>(TCOS Line 2 )</v>
      </c>
      <c r="H15" s="7"/>
      <c r="I15" s="737">
        <f>(K15+M15)</f>
        <v>13379664.59</v>
      </c>
      <c r="J15" s="7"/>
      <c r="K15" s="246">
        <f>+'PSO TCOS'!L13</f>
        <v>6362726.8883999996</v>
      </c>
      <c r="L15" s="382"/>
      <c r="M15" s="246">
        <f>+'SWEPCO TCOS'!L13</f>
        <v>7016937.7016000003</v>
      </c>
      <c r="O15" s="597"/>
      <c r="P15" s="597"/>
      <c r="Q15" s="597"/>
      <c r="R15" s="597"/>
      <c r="S15" s="597"/>
      <c r="T15" s="597"/>
      <c r="U15" s="597"/>
      <c r="V15" s="597"/>
      <c r="W15" s="597"/>
    </row>
    <row r="16" spans="1:23" ht="15.75">
      <c r="A16" s="735"/>
      <c r="B16" s="1074"/>
      <c r="C16" s="25"/>
      <c r="D16" s="7"/>
      <c r="E16" s="25"/>
      <c r="F16" s="7"/>
      <c r="G16" s="7"/>
      <c r="H16" s="7"/>
      <c r="I16" s="1064"/>
      <c r="J16" s="20"/>
      <c r="K16" s="1064"/>
      <c r="L16" s="20"/>
      <c r="M16" s="1064"/>
      <c r="O16" s="597"/>
      <c r="P16" s="597"/>
      <c r="Q16" s="597"/>
      <c r="R16" s="597"/>
      <c r="S16" s="597"/>
      <c r="T16" s="597"/>
      <c r="U16" s="597"/>
      <c r="V16" s="597"/>
      <c r="W16" s="597"/>
    </row>
    <row r="17" spans="1:23" ht="15.75">
      <c r="A17" s="735"/>
      <c r="B17" s="254">
        <f>+B15+1</f>
        <v>3</v>
      </c>
      <c r="C17" s="25"/>
      <c r="D17" s="739" t="s">
        <v>594</v>
      </c>
      <c r="E17" s="25"/>
      <c r="F17" s="7"/>
      <c r="G17" s="30" t="str">
        <f>"(TCOS Line "&amp;'PSO TCOS'!B15&amp;" )"</f>
        <v>(TCOS Line 3 )</v>
      </c>
      <c r="H17" s="7"/>
      <c r="I17" s="1065">
        <f>+K17+M17</f>
        <v>0</v>
      </c>
      <c r="J17" s="20"/>
      <c r="K17" s="1065">
        <f>+'PSO TCOS'!L15</f>
        <v>0</v>
      </c>
      <c r="L17" s="20"/>
      <c r="M17" s="1065">
        <f>+'SWEPCO TCOS'!L15</f>
        <v>0</v>
      </c>
      <c r="O17" s="597"/>
      <c r="P17" s="597"/>
      <c r="Q17" s="597"/>
      <c r="R17" s="597"/>
      <c r="S17" s="597"/>
      <c r="T17" s="597"/>
      <c r="U17" s="597"/>
      <c r="V17" s="597"/>
      <c r="W17" s="597"/>
    </row>
    <row r="18" spans="1:23" ht="15.75">
      <c r="A18" s="735"/>
      <c r="B18" s="254"/>
      <c r="C18" s="25"/>
      <c r="D18" s="739"/>
      <c r="E18" s="25"/>
      <c r="F18" s="7"/>
      <c r="G18" s="7"/>
      <c r="H18" s="7"/>
      <c r="I18" s="737"/>
      <c r="J18" s="7"/>
      <c r="K18" s="246"/>
      <c r="L18" s="7"/>
      <c r="M18" s="246"/>
      <c r="O18" s="597"/>
      <c r="P18" s="597"/>
      <c r="Q18" s="597"/>
      <c r="R18" s="597"/>
      <c r="S18" s="597"/>
      <c r="T18" s="597"/>
      <c r="U18" s="597"/>
      <c r="V18" s="597"/>
      <c r="W18" s="597"/>
    </row>
    <row r="19" spans="1:23">
      <c r="B19" s="35">
        <f>+B17+1</f>
        <v>4</v>
      </c>
      <c r="C19" s="30"/>
      <c r="D19" s="739" t="s">
        <v>596</v>
      </c>
      <c r="F19" s="247"/>
      <c r="G19" s="30" t="str">
        <f>"(TCOS Line "&amp;'PSO TCOS'!B17&amp;" )"</f>
        <v>(TCOS Line 4 )</v>
      </c>
      <c r="H19" s="5"/>
      <c r="I19" s="1066">
        <f>+K19+M19</f>
        <v>263229042.71855938</v>
      </c>
      <c r="J19" s="22"/>
      <c r="K19" s="1063">
        <f>+K13+K17-K15</f>
        <v>91159045.340786502</v>
      </c>
      <c r="L19" s="5"/>
      <c r="M19" s="1063">
        <f>+M13+M17-M15</f>
        <v>172069997.37777287</v>
      </c>
      <c r="O19" s="597"/>
      <c r="P19" s="597"/>
      <c r="Q19" s="597"/>
      <c r="R19" s="597"/>
      <c r="S19" s="597"/>
      <c r="T19" s="597"/>
      <c r="U19" s="597"/>
      <c r="V19" s="597"/>
      <c r="W19" s="597"/>
    </row>
    <row r="20" spans="1:23">
      <c r="B20" s="35"/>
      <c r="C20" s="30"/>
      <c r="D20" s="739"/>
      <c r="E20" s="7"/>
      <c r="F20" s="247"/>
      <c r="G20" s="5"/>
      <c r="H20" s="5"/>
      <c r="J20" s="5"/>
      <c r="K20" s="741">
        <f>K19/I19</f>
        <v>0.346310742915448</v>
      </c>
      <c r="L20" s="5"/>
      <c r="M20" s="741">
        <f>1-K20</f>
        <v>0.65368925708455206</v>
      </c>
      <c r="O20" s="597"/>
      <c r="P20" s="597"/>
      <c r="Q20" s="597"/>
      <c r="R20" s="597"/>
      <c r="S20" s="597"/>
      <c r="T20" s="597"/>
      <c r="U20" s="597"/>
      <c r="V20" s="597"/>
      <c r="W20" s="597"/>
    </row>
    <row r="21" spans="1:23">
      <c r="B21" s="35">
        <f>+B19+1</f>
        <v>5</v>
      </c>
      <c r="C21" s="30"/>
      <c r="D21" s="739" t="s">
        <v>597</v>
      </c>
      <c r="E21" s="7"/>
      <c r="F21" s="247"/>
      <c r="G21" s="5"/>
      <c r="H21" s="5"/>
      <c r="J21" s="5"/>
      <c r="L21" s="5"/>
      <c r="O21" s="597"/>
      <c r="P21" s="597"/>
      <c r="Q21" s="597"/>
      <c r="R21" s="597"/>
      <c r="S21" s="597"/>
      <c r="T21" s="597"/>
      <c r="U21" s="597"/>
      <c r="V21" s="597"/>
      <c r="W21" s="597"/>
    </row>
    <row r="22" spans="1:23">
      <c r="B22" s="35">
        <f>+B21+1</f>
        <v>6</v>
      </c>
      <c r="C22" s="30"/>
      <c r="D22" s="739" t="s">
        <v>598</v>
      </c>
      <c r="E22" s="7"/>
      <c r="F22" s="247"/>
      <c r="G22" s="30" t="str">
        <f>"(TCOS Line "&amp;'PSO TCOS'!B22&amp;" )"</f>
        <v>(TCOS Line 5 )</v>
      </c>
      <c r="H22" s="5"/>
      <c r="I22" s="737">
        <f>(K22+M22)</f>
        <v>86841696.946913376</v>
      </c>
      <c r="J22" s="5"/>
      <c r="K22" s="742">
        <f>+'PSO TCOS'!L22</f>
        <v>7470466.2267492693</v>
      </c>
      <c r="L22" s="742"/>
      <c r="M22" s="742">
        <f>+'SWEPCO TCOS'!L22</f>
        <v>79371230.720164105</v>
      </c>
      <c r="O22" s="597"/>
      <c r="P22" s="597"/>
      <c r="Q22" s="597"/>
      <c r="R22" s="597"/>
      <c r="S22" s="597"/>
      <c r="T22" s="597"/>
      <c r="U22" s="597"/>
      <c r="V22" s="597"/>
      <c r="W22" s="597"/>
    </row>
    <row r="23" spans="1:23">
      <c r="B23" s="35">
        <f>+B22+1</f>
        <v>7</v>
      </c>
      <c r="C23" s="30"/>
      <c r="D23" s="739" t="s">
        <v>599</v>
      </c>
      <c r="E23" s="7"/>
      <c r="F23" s="247"/>
      <c r="G23" s="30" t="str">
        <f>"(Worksheet F/G)"</f>
        <v>(Worksheet F/G)</v>
      </c>
      <c r="H23" s="5"/>
      <c r="I23" s="737">
        <f>+K23+M23</f>
        <v>0</v>
      </c>
      <c r="J23" s="5"/>
      <c r="K23" s="742">
        <v>0</v>
      </c>
      <c r="L23" s="742"/>
      <c r="M23" s="742">
        <v>0</v>
      </c>
      <c r="O23" s="597"/>
      <c r="P23" s="597"/>
      <c r="Q23" s="597"/>
      <c r="R23" s="597"/>
      <c r="S23" s="597"/>
      <c r="T23" s="597"/>
      <c r="U23" s="597"/>
      <c r="V23" s="597"/>
      <c r="W23" s="597"/>
    </row>
    <row r="24" spans="1:23">
      <c r="B24" s="35">
        <f>+B23+1</f>
        <v>8</v>
      </c>
      <c r="C24" s="30"/>
      <c r="D24" s="739" t="s">
        <v>600</v>
      </c>
      <c r="E24" s="7"/>
      <c r="F24" s="247"/>
      <c r="G24" s="30" t="str">
        <f>"(Worksheet F/G)"</f>
        <v>(Worksheet F/G)</v>
      </c>
      <c r="H24" s="5"/>
      <c r="I24" s="743">
        <f>+K24+M24</f>
        <v>0</v>
      </c>
      <c r="J24" s="5"/>
      <c r="K24" s="744">
        <v>0</v>
      </c>
      <c r="L24" s="742"/>
      <c r="M24" s="744">
        <v>0</v>
      </c>
      <c r="O24" s="597"/>
      <c r="P24" s="597"/>
      <c r="Q24" s="597"/>
      <c r="R24" s="597"/>
      <c r="S24" s="597"/>
      <c r="T24" s="597"/>
      <c r="U24" s="597"/>
      <c r="V24" s="597"/>
      <c r="W24" s="597"/>
    </row>
    <row r="25" spans="1:23">
      <c r="B25" s="35">
        <f>+B24+1</f>
        <v>9</v>
      </c>
      <c r="C25" s="30"/>
      <c r="D25" s="745" t="s">
        <v>601</v>
      </c>
      <c r="E25" s="7" t="s">
        <v>291</v>
      </c>
      <c r="F25" s="247"/>
      <c r="G25" s="5"/>
      <c r="H25" s="5"/>
      <c r="I25" s="742">
        <f>(I24+I23+I22)</f>
        <v>86841696.946913376</v>
      </c>
      <c r="J25" s="5"/>
      <c r="K25" s="742">
        <f>+K24+K23+K22</f>
        <v>7470466.2267492693</v>
      </c>
      <c r="L25" s="742"/>
      <c r="M25" s="742">
        <f>+M24+M23+M22</f>
        <v>79371230.720164105</v>
      </c>
      <c r="O25" s="597"/>
      <c r="P25" s="597"/>
      <c r="Q25" s="597"/>
      <c r="R25" s="597"/>
      <c r="S25" s="597"/>
      <c r="T25" s="597"/>
      <c r="U25" s="597"/>
      <c r="V25" s="597"/>
      <c r="W25" s="597"/>
    </row>
    <row r="26" spans="1:23">
      <c r="B26" s="35"/>
      <c r="C26" s="30"/>
      <c r="D26" s="739"/>
      <c r="E26" s="7"/>
      <c r="F26" s="247"/>
      <c r="G26" s="5"/>
      <c r="H26" s="5"/>
      <c r="I26" s="743"/>
      <c r="J26" s="5"/>
      <c r="K26" s="744"/>
      <c r="L26" s="742"/>
      <c r="M26" s="744"/>
      <c r="O26" s="597"/>
      <c r="P26" s="597"/>
      <c r="Q26" s="597"/>
      <c r="R26" s="597"/>
      <c r="S26" s="597"/>
      <c r="T26" s="597"/>
      <c r="U26" s="597"/>
      <c r="V26" s="597"/>
      <c r="W26" s="597"/>
    </row>
    <row r="27" spans="1:23">
      <c r="B27" s="35">
        <f>+B25+1</f>
        <v>10</v>
      </c>
      <c r="C27" s="30"/>
      <c r="D27" s="739" t="s">
        <v>602</v>
      </c>
      <c r="E27" s="7"/>
      <c r="G27" s="247" t="str">
        <f>"(Line "&amp;B19&amp;"- Line "&amp;B25&amp;")"</f>
        <v>(Line 4- Line 9)</v>
      </c>
      <c r="H27" s="5"/>
      <c r="I27" s="737">
        <f>(K27+M27)</f>
        <v>176387345.77164599</v>
      </c>
      <c r="J27" s="5"/>
      <c r="K27" s="742">
        <f>+K19-K25</f>
        <v>83688579.114037231</v>
      </c>
      <c r="L27" s="742"/>
      <c r="M27" s="742">
        <f>+M19-M25</f>
        <v>92698766.657608762</v>
      </c>
      <c r="O27" s="597"/>
      <c r="P27" s="597"/>
      <c r="Q27" s="597"/>
      <c r="R27" s="597"/>
      <c r="S27" s="597"/>
      <c r="T27" s="597"/>
      <c r="U27" s="597"/>
      <c r="V27" s="597"/>
      <c r="W27" s="597"/>
    </row>
    <row r="28" spans="1:23">
      <c r="B28" s="15"/>
      <c r="C28" s="30"/>
      <c r="E28" s="7"/>
      <c r="G28" s="5"/>
      <c r="H28" s="5"/>
      <c r="J28" s="5"/>
      <c r="O28" s="597"/>
      <c r="P28" s="597"/>
      <c r="Q28" s="597"/>
      <c r="R28" s="597"/>
      <c r="S28" s="597"/>
      <c r="T28" s="597"/>
      <c r="U28" s="597"/>
      <c r="V28" s="597"/>
      <c r="W28" s="597"/>
    </row>
    <row r="29" spans="1:23">
      <c r="B29" s="35">
        <f>+B27+1</f>
        <v>11</v>
      </c>
      <c r="C29" s="30"/>
      <c r="D29" s="739" t="s">
        <v>603</v>
      </c>
      <c r="E29" s="7"/>
      <c r="F29" s="247"/>
      <c r="G29" s="30" t="str">
        <f>"(TCOS Line "&amp;'PSO TCOS'!B34&amp;" )"</f>
        <v>(TCOS Line 13 )</v>
      </c>
      <c r="H29" s="5"/>
      <c r="I29" s="737">
        <f>+K29+M29</f>
        <v>0</v>
      </c>
      <c r="J29" s="5"/>
      <c r="K29" s="742">
        <f>+'PSO TCOS'!L34</f>
        <v>0</v>
      </c>
      <c r="L29" s="742"/>
      <c r="M29" s="742">
        <f>+'SWEPCO TCOS'!L34</f>
        <v>0</v>
      </c>
      <c r="O29" s="597"/>
      <c r="P29" s="597"/>
      <c r="Q29" s="597"/>
      <c r="R29" s="597"/>
      <c r="S29" s="597"/>
      <c r="T29" s="597"/>
      <c r="U29" s="597"/>
      <c r="V29" s="597"/>
      <c r="W29" s="597"/>
    </row>
    <row r="30" spans="1:23" ht="15.75" thickBot="1">
      <c r="B30" s="35"/>
      <c r="C30" s="30"/>
      <c r="D30" s="739"/>
      <c r="E30" s="7"/>
      <c r="F30" s="247"/>
      <c r="G30" s="5"/>
      <c r="H30" s="5"/>
      <c r="I30" s="746"/>
      <c r="J30" s="5"/>
      <c r="K30" s="747"/>
      <c r="L30" s="742"/>
      <c r="M30" s="747"/>
      <c r="O30" s="597"/>
      <c r="P30" s="597"/>
      <c r="Q30" s="597"/>
      <c r="R30" s="597"/>
      <c r="S30" s="597"/>
      <c r="T30" s="597"/>
      <c r="U30" s="597"/>
      <c r="V30" s="597"/>
      <c r="W30" s="597"/>
    </row>
    <row r="31" spans="1:23" ht="16.5" thickBot="1">
      <c r="B31" s="1070">
        <f>+B29+1</f>
        <v>12</v>
      </c>
      <c r="C31" s="748"/>
      <c r="D31" s="1069" t="s">
        <v>604</v>
      </c>
      <c r="E31" s="749"/>
      <c r="F31" s="750"/>
      <c r="G31" s="1068" t="str">
        <f>"(Line "&amp;B27&amp;" + Line "&amp;B29&amp;")"</f>
        <v>(Line 10 + Line 11)</v>
      </c>
      <c r="H31" s="751"/>
      <c r="I31" s="752">
        <f>(I27+I29)</f>
        <v>176387345.77164599</v>
      </c>
      <c r="J31" s="751"/>
      <c r="K31" s="753">
        <f>+K27+K29</f>
        <v>83688579.114037231</v>
      </c>
      <c r="L31" s="753"/>
      <c r="M31" s="754">
        <f>+M27+M29</f>
        <v>92698766.657608762</v>
      </c>
      <c r="O31" s="597"/>
      <c r="P31" s="597"/>
      <c r="Q31" s="597"/>
      <c r="R31" s="597"/>
      <c r="S31" s="597"/>
      <c r="T31" s="597"/>
      <c r="U31" s="597"/>
      <c r="V31" s="597"/>
      <c r="W31" s="597"/>
    </row>
    <row r="32" spans="1:23">
      <c r="B32" s="35"/>
      <c r="C32" s="30"/>
      <c r="D32" s="739"/>
      <c r="E32" s="7"/>
      <c r="G32" s="247"/>
      <c r="H32" s="5"/>
      <c r="I32" s="737"/>
      <c r="J32" s="5"/>
      <c r="K32" s="742"/>
      <c r="L32" s="742"/>
      <c r="M32" s="742"/>
      <c r="O32" s="597"/>
      <c r="P32" s="597"/>
      <c r="Q32" s="597"/>
      <c r="R32" s="597"/>
      <c r="S32" s="597"/>
      <c r="T32" s="597"/>
      <c r="U32" s="597"/>
      <c r="V32" s="597"/>
      <c r="W32" s="597"/>
    </row>
    <row r="33" spans="2:23" ht="15.75">
      <c r="B33" s="254">
        <f>B31+1</f>
        <v>13</v>
      </c>
      <c r="C33" s="25"/>
      <c r="D33" s="739" t="s">
        <v>605</v>
      </c>
      <c r="E33" s="1071"/>
      <c r="F33" s="1072"/>
      <c r="G33" s="32" t="str">
        <f>"(Load WS, ln "&amp;'Load WS'!A49&amp;")"</f>
        <v>(Load WS, ln 33)</v>
      </c>
      <c r="H33" s="755"/>
      <c r="I33" s="737">
        <f>+M33</f>
        <v>8394</v>
      </c>
      <c r="J33" s="5"/>
      <c r="K33" s="737">
        <f>I33</f>
        <v>8394</v>
      </c>
      <c r="L33" s="742"/>
      <c r="M33" s="742">
        <f>+'Load WS'!S49</f>
        <v>8394</v>
      </c>
      <c r="O33" s="597"/>
      <c r="P33" s="597"/>
      <c r="Q33" s="597"/>
      <c r="R33" s="597"/>
      <c r="S33" s="597"/>
      <c r="T33" s="597"/>
      <c r="U33" s="597"/>
      <c r="V33" s="597"/>
      <c r="W33" s="597"/>
    </row>
    <row r="34" spans="2:23" ht="15.75">
      <c r="B34" s="254"/>
      <c r="C34" s="25"/>
      <c r="D34" s="756"/>
      <c r="E34" s="1071"/>
      <c r="F34" s="1072"/>
      <c r="G34" s="1073"/>
      <c r="H34" s="755"/>
      <c r="I34" s="757"/>
      <c r="J34" s="755"/>
      <c r="K34" s="758"/>
      <c r="L34" s="742"/>
      <c r="M34" s="742"/>
      <c r="O34" s="597"/>
      <c r="P34" s="597"/>
      <c r="Q34" s="597"/>
      <c r="R34" s="597"/>
      <c r="S34" s="597"/>
      <c r="T34" s="597"/>
      <c r="U34" s="597"/>
      <c r="V34" s="597"/>
      <c r="W34" s="597"/>
    </row>
    <row r="35" spans="2:23" ht="15.75">
      <c r="B35" s="254">
        <f>B33+1</f>
        <v>14</v>
      </c>
      <c r="C35" s="25"/>
      <c r="D35" s="759" t="str">
        <f>"Monthly NITS Rate in $/MW - Month"</f>
        <v>Monthly NITS Rate in $/MW - Month</v>
      </c>
      <c r="E35" s="1071"/>
      <c r="F35" s="1072"/>
      <c r="G35" s="1067" t="str">
        <f>"(Line "&amp;B31&amp;" / Line "&amp;B33&amp;") /12 "</f>
        <v xml:space="preserve">(Line 12 / Line 13) /12 </v>
      </c>
      <c r="H35" s="755"/>
      <c r="I35" s="760">
        <f>ROUND((I31/I33)/12,2)</f>
        <v>1751.13</v>
      </c>
      <c r="J35" s="755"/>
      <c r="K35" s="760">
        <f>ROUND((K31/K33)/12,2)</f>
        <v>830.84</v>
      </c>
      <c r="L35" s="742"/>
      <c r="M35" s="760">
        <f>ROUND((M31/M33)/12,2)</f>
        <v>920.29</v>
      </c>
      <c r="O35" s="597"/>
      <c r="P35" s="597"/>
      <c r="Q35" s="597"/>
      <c r="R35" s="597"/>
      <c r="S35" s="597"/>
      <c r="T35" s="597"/>
      <c r="U35" s="597"/>
      <c r="V35" s="597"/>
      <c r="W35" s="597"/>
    </row>
    <row r="36" spans="2:23">
      <c r="B36" s="35"/>
      <c r="C36" s="30"/>
      <c r="D36" s="739"/>
      <c r="E36" s="7"/>
      <c r="G36" s="247"/>
      <c r="H36" s="5"/>
      <c r="I36" s="1513"/>
      <c r="J36" s="1512"/>
      <c r="K36" s="1511"/>
      <c r="L36" s="1511"/>
      <c r="M36" s="1511"/>
      <c r="O36" s="597"/>
      <c r="P36" s="597"/>
      <c r="Q36" s="597"/>
      <c r="R36" s="597"/>
      <c r="S36" s="597"/>
      <c r="T36" s="597"/>
      <c r="U36" s="597"/>
      <c r="V36" s="597"/>
      <c r="W36" s="597"/>
    </row>
    <row r="37" spans="2:23">
      <c r="B37" s="35"/>
      <c r="C37" s="30"/>
      <c r="D37" s="739"/>
      <c r="E37" s="7"/>
      <c r="F37" s="247"/>
      <c r="G37" s="5"/>
      <c r="H37" s="5"/>
      <c r="I37" s="737"/>
      <c r="J37" s="5"/>
      <c r="K37" s="742"/>
      <c r="L37" s="742"/>
      <c r="M37" s="742"/>
      <c r="O37" s="597"/>
      <c r="P37" s="597"/>
      <c r="Q37" s="597"/>
      <c r="R37" s="597"/>
      <c r="S37" s="597"/>
      <c r="T37" s="597"/>
      <c r="U37" s="597"/>
      <c r="V37" s="597"/>
      <c r="W37" s="597"/>
    </row>
    <row r="38" spans="2:23">
      <c r="B38" s="1"/>
      <c r="C38" s="33"/>
      <c r="D38" s="33"/>
      <c r="E38" s="33"/>
      <c r="F38" s="33"/>
      <c r="G38" s="33"/>
      <c r="H38" s="33"/>
      <c r="I38" s="33"/>
      <c r="J38" s="33"/>
      <c r="K38" s="33"/>
      <c r="L38" s="33"/>
      <c r="M38" s="731"/>
      <c r="N38" s="33"/>
      <c r="O38" s="597"/>
      <c r="P38" s="597"/>
      <c r="Q38" s="597"/>
      <c r="R38" s="597"/>
      <c r="S38" s="597"/>
      <c r="T38" s="597"/>
      <c r="U38" s="597"/>
      <c r="V38" s="597"/>
      <c r="W38" s="597"/>
    </row>
    <row r="39" spans="2:23">
      <c r="B39" s="1"/>
      <c r="C39" s="33"/>
      <c r="D39" s="33"/>
      <c r="E39" s="33"/>
      <c r="F39" s="33"/>
      <c r="G39" s="33"/>
      <c r="H39" s="33"/>
      <c r="I39" s="33"/>
      <c r="J39" s="33"/>
      <c r="K39" s="33"/>
      <c r="L39" s="33"/>
      <c r="M39" s="731"/>
      <c r="N39" s="33"/>
      <c r="O39" s="597"/>
      <c r="P39" s="597"/>
      <c r="Q39" s="597"/>
      <c r="R39" s="597"/>
      <c r="S39" s="597"/>
      <c r="T39" s="597"/>
      <c r="U39" s="597"/>
      <c r="V39" s="597"/>
      <c r="W39" s="597"/>
    </row>
    <row r="40" spans="2:23">
      <c r="B40" s="1"/>
      <c r="C40" s="33"/>
      <c r="D40" s="33"/>
      <c r="E40" s="33"/>
      <c r="F40" s="33"/>
      <c r="G40" s="33"/>
      <c r="H40" s="33"/>
      <c r="I40" s="761"/>
      <c r="J40" s="33"/>
      <c r="K40" s="33"/>
      <c r="L40" s="33"/>
      <c r="M40" s="731"/>
      <c r="N40" s="33"/>
      <c r="O40" s="33"/>
      <c r="P40" s="33"/>
      <c r="Q40" s="33"/>
      <c r="R40" s="33"/>
      <c r="S40" s="33"/>
      <c r="T40" s="33"/>
      <c r="U40" s="33"/>
      <c r="V40" s="33"/>
      <c r="W40" s="33"/>
    </row>
    <row r="41" spans="2:23">
      <c r="B41" s="1"/>
      <c r="C41" s="33"/>
      <c r="D41" s="33"/>
      <c r="E41" s="33"/>
      <c r="F41" s="33"/>
      <c r="G41" s="33"/>
      <c r="H41" s="33"/>
      <c r="I41" s="33"/>
      <c r="J41" s="33"/>
      <c r="K41" s="33"/>
      <c r="L41" s="33"/>
      <c r="M41" s="731"/>
      <c r="N41" s="33"/>
      <c r="O41" s="33"/>
      <c r="P41" s="33"/>
      <c r="Q41" s="33"/>
      <c r="R41" s="33"/>
      <c r="S41" s="33"/>
      <c r="T41" s="33"/>
      <c r="U41" s="33"/>
      <c r="V41" s="33"/>
      <c r="W41" s="33"/>
    </row>
    <row r="42" spans="2:23">
      <c r="B42" s="1"/>
      <c r="C42" s="33"/>
      <c r="D42" s="33"/>
      <c r="E42" s="33"/>
      <c r="F42" s="33"/>
      <c r="G42" s="33"/>
      <c r="H42" s="33"/>
      <c r="I42" s="33"/>
      <c r="J42" s="33"/>
      <c r="K42" s="33"/>
      <c r="L42" s="33"/>
      <c r="M42" s="33"/>
      <c r="N42" s="33"/>
      <c r="O42" s="33"/>
      <c r="P42" s="33"/>
      <c r="Q42" s="33"/>
      <c r="R42" s="33"/>
      <c r="S42" s="33"/>
      <c r="T42" s="33"/>
      <c r="U42" s="33"/>
      <c r="V42" s="33"/>
      <c r="W42" s="33"/>
    </row>
    <row r="43" spans="2:23">
      <c r="B43" s="1"/>
      <c r="C43" s="33"/>
      <c r="D43" s="33"/>
      <c r="E43" s="33"/>
      <c r="F43" s="33"/>
      <c r="G43" s="33"/>
      <c r="H43" s="33"/>
      <c r="I43" s="761"/>
      <c r="J43" s="33"/>
      <c r="K43" s="33"/>
      <c r="L43" s="33"/>
      <c r="M43" s="33"/>
      <c r="N43" s="33"/>
      <c r="O43" s="33"/>
      <c r="P43" s="33"/>
      <c r="Q43" s="33"/>
      <c r="R43" s="33"/>
      <c r="S43" s="33"/>
      <c r="T43" s="33"/>
      <c r="U43" s="33"/>
      <c r="V43" s="33"/>
      <c r="W43" s="33"/>
    </row>
    <row r="44" spans="2:23">
      <c r="B44" s="1"/>
      <c r="C44" s="33"/>
      <c r="D44" s="33"/>
      <c r="E44" s="33"/>
      <c r="F44" s="33"/>
      <c r="G44" s="762"/>
      <c r="H44" s="33"/>
      <c r="I44" s="761"/>
      <c r="J44" s="33"/>
      <c r="K44" s="33"/>
      <c r="L44" s="33"/>
      <c r="M44" s="33"/>
      <c r="N44" s="33"/>
      <c r="O44" s="33"/>
      <c r="P44" s="33"/>
      <c r="Q44" s="33"/>
      <c r="R44" s="33"/>
      <c r="S44" s="33"/>
      <c r="T44" s="33"/>
      <c r="U44" s="33"/>
      <c r="V44" s="33"/>
      <c r="W44" s="33"/>
    </row>
    <row r="45" spans="2:23">
      <c r="B45" s="1"/>
      <c r="C45" s="33"/>
      <c r="D45" s="33"/>
      <c r="E45" s="33"/>
      <c r="F45" s="33"/>
      <c r="G45" s="762"/>
      <c r="H45" s="33"/>
      <c r="I45" s="761"/>
      <c r="J45" s="33"/>
      <c r="K45" s="33"/>
      <c r="L45" s="33"/>
      <c r="M45" s="33"/>
      <c r="N45" s="33"/>
      <c r="O45" s="33"/>
      <c r="P45" s="33"/>
      <c r="Q45" s="33"/>
      <c r="R45" s="33"/>
      <c r="S45" s="33"/>
      <c r="T45" s="33"/>
      <c r="U45" s="33"/>
      <c r="V45" s="33"/>
      <c r="W45" s="33"/>
    </row>
    <row r="46" spans="2:23">
      <c r="B46" s="1"/>
      <c r="C46" s="33"/>
      <c r="D46" s="33"/>
      <c r="E46" s="33"/>
      <c r="F46" s="763"/>
      <c r="G46" s="762"/>
      <c r="H46" s="33"/>
      <c r="I46" s="761"/>
      <c r="J46" s="33"/>
      <c r="K46" s="33"/>
      <c r="L46" s="33"/>
      <c r="M46" s="33"/>
      <c r="N46" s="33"/>
      <c r="O46" s="33"/>
      <c r="P46" s="33"/>
      <c r="Q46" s="33"/>
      <c r="R46" s="33"/>
      <c r="S46" s="33"/>
      <c r="T46" s="33"/>
      <c r="U46" s="33"/>
      <c r="V46" s="33"/>
      <c r="W46" s="33"/>
    </row>
    <row r="47" spans="2:23">
      <c r="B47" s="1"/>
      <c r="C47" s="33"/>
      <c r="D47" s="33"/>
      <c r="E47" s="33"/>
      <c r="F47" s="33"/>
      <c r="G47" s="33"/>
      <c r="H47" s="33"/>
      <c r="I47" s="761"/>
      <c r="J47" s="33"/>
      <c r="K47" s="33"/>
      <c r="L47" s="33"/>
      <c r="M47" s="33"/>
      <c r="N47" s="33"/>
      <c r="O47" s="33"/>
      <c r="P47" s="33"/>
      <c r="Q47" s="33"/>
      <c r="R47" s="33"/>
      <c r="S47" s="33"/>
      <c r="T47" s="33"/>
      <c r="U47" s="33"/>
      <c r="V47" s="33"/>
      <c r="W47" s="33"/>
    </row>
    <row r="48" spans="2:23">
      <c r="B48" s="1"/>
      <c r="C48" s="33"/>
      <c r="D48" s="33"/>
      <c r="E48" s="33"/>
      <c r="F48" s="33"/>
      <c r="G48" s="33"/>
      <c r="H48" s="33"/>
      <c r="I48" s="761"/>
      <c r="J48" s="33"/>
      <c r="K48" s="33"/>
      <c r="L48" s="33"/>
      <c r="M48" s="33"/>
      <c r="N48" s="33"/>
      <c r="O48" s="33"/>
      <c r="P48" s="33"/>
      <c r="Q48" s="33"/>
      <c r="R48" s="33"/>
      <c r="S48" s="33"/>
      <c r="T48" s="33"/>
      <c r="U48" s="33"/>
      <c r="V48" s="33"/>
      <c r="W48" s="33"/>
    </row>
    <row r="49" spans="2:23">
      <c r="B49" s="1"/>
      <c r="C49" s="33"/>
      <c r="D49" s="33"/>
      <c r="E49" s="33"/>
      <c r="F49" s="33"/>
      <c r="G49" s="33"/>
      <c r="H49" s="33"/>
      <c r="I49" s="761"/>
      <c r="J49" s="33"/>
      <c r="K49" s="33"/>
      <c r="L49" s="33"/>
      <c r="M49" s="33"/>
      <c r="N49" s="33"/>
      <c r="O49" s="33"/>
      <c r="P49" s="33"/>
      <c r="Q49" s="33"/>
      <c r="R49" s="33"/>
      <c r="S49" s="33"/>
      <c r="T49" s="33"/>
      <c r="U49" s="33"/>
      <c r="V49" s="33"/>
      <c r="W49" s="33"/>
    </row>
    <row r="50" spans="2:23">
      <c r="B50" s="1"/>
      <c r="C50" s="33"/>
      <c r="D50" s="33"/>
      <c r="E50" s="33"/>
      <c r="F50" s="33"/>
      <c r="G50" s="33"/>
      <c r="H50" s="33"/>
      <c r="I50" s="33"/>
      <c r="J50" s="33"/>
      <c r="K50" s="33"/>
      <c r="L50" s="33"/>
      <c r="M50" s="33"/>
      <c r="N50" s="33"/>
      <c r="O50" s="33"/>
      <c r="P50" s="33"/>
      <c r="Q50" s="33"/>
      <c r="R50" s="33"/>
      <c r="S50" s="33"/>
      <c r="T50" s="33"/>
      <c r="U50" s="33"/>
      <c r="V50" s="33"/>
      <c r="W50" s="33"/>
    </row>
    <row r="51" spans="2:23">
      <c r="B51" s="1"/>
      <c r="C51" s="33"/>
      <c r="D51" s="33"/>
      <c r="E51" s="33"/>
      <c r="F51" s="33"/>
      <c r="G51" s="33"/>
      <c r="H51" s="33"/>
      <c r="I51" s="33"/>
      <c r="J51" s="33"/>
      <c r="K51" s="33"/>
      <c r="L51" s="33"/>
      <c r="M51" s="33"/>
      <c r="N51" s="33"/>
      <c r="O51" s="33"/>
      <c r="P51" s="33"/>
      <c r="Q51" s="33"/>
      <c r="R51" s="33"/>
      <c r="S51" s="33"/>
      <c r="T51" s="33"/>
      <c r="U51" s="33"/>
      <c r="V51" s="33"/>
      <c r="W51" s="33"/>
    </row>
    <row r="52" spans="2:23">
      <c r="B52" s="1"/>
      <c r="C52" s="33"/>
      <c r="D52" s="33"/>
      <c r="E52" s="33"/>
      <c r="F52" s="33"/>
      <c r="G52" s="33"/>
      <c r="H52" s="33"/>
      <c r="I52" s="33"/>
      <c r="J52" s="33"/>
      <c r="K52" s="33"/>
      <c r="L52" s="33"/>
      <c r="M52" s="33"/>
      <c r="N52" s="33"/>
      <c r="O52" s="33"/>
      <c r="P52" s="33"/>
      <c r="Q52" s="33"/>
      <c r="R52" s="33"/>
      <c r="S52" s="33"/>
      <c r="T52" s="33"/>
      <c r="U52" s="33"/>
      <c r="V52" s="33"/>
      <c r="W52" s="33"/>
    </row>
    <row r="53" spans="2:23">
      <c r="B53" s="1"/>
      <c r="C53" s="33"/>
      <c r="D53" s="33"/>
      <c r="E53" s="33"/>
      <c r="F53" s="33"/>
      <c r="G53" s="33"/>
      <c r="H53" s="33"/>
      <c r="I53" s="33"/>
      <c r="J53" s="33"/>
      <c r="K53" s="33"/>
      <c r="L53" s="33"/>
      <c r="M53" s="33"/>
      <c r="N53" s="33"/>
      <c r="O53" s="33"/>
      <c r="P53" s="33"/>
      <c r="Q53" s="33"/>
      <c r="R53" s="33"/>
      <c r="S53" s="33"/>
      <c r="T53" s="33"/>
      <c r="U53" s="33"/>
      <c r="V53" s="33"/>
      <c r="W53" s="33"/>
    </row>
    <row r="54" spans="2:23">
      <c r="B54" s="1"/>
      <c r="C54" s="33"/>
      <c r="D54" s="33"/>
      <c r="E54" s="33"/>
      <c r="F54" s="33"/>
      <c r="G54" s="33"/>
      <c r="H54" s="33"/>
      <c r="I54" s="33"/>
      <c r="J54" s="33"/>
      <c r="K54" s="33"/>
      <c r="L54" s="33"/>
      <c r="M54" s="33"/>
      <c r="N54" s="33"/>
      <c r="O54" s="33"/>
      <c r="P54" s="33"/>
      <c r="Q54" s="33"/>
      <c r="R54" s="33"/>
      <c r="S54" s="33"/>
      <c r="T54" s="33"/>
      <c r="U54" s="33"/>
      <c r="V54" s="33"/>
      <c r="W54" s="33"/>
    </row>
    <row r="55" spans="2:23">
      <c r="B55" s="1"/>
      <c r="C55" s="33"/>
      <c r="D55" s="33"/>
      <c r="E55" s="33"/>
      <c r="F55" s="33"/>
      <c r="G55" s="33"/>
      <c r="H55" s="33"/>
      <c r="I55" s="33"/>
      <c r="J55" s="33"/>
      <c r="K55" s="33"/>
      <c r="L55" s="33"/>
      <c r="M55" s="33"/>
      <c r="N55" s="33"/>
      <c r="O55" s="33"/>
      <c r="P55" s="33"/>
      <c r="Q55" s="33"/>
      <c r="R55" s="33"/>
      <c r="S55" s="33"/>
      <c r="T55" s="33"/>
      <c r="U55" s="33"/>
      <c r="V55" s="33"/>
      <c r="W55" s="33"/>
    </row>
    <row r="56" spans="2:23">
      <c r="B56" s="1"/>
      <c r="C56" s="33"/>
      <c r="D56" s="33"/>
      <c r="E56" s="33"/>
      <c r="F56" s="33"/>
      <c r="G56" s="33"/>
      <c r="H56" s="33"/>
      <c r="I56" s="33"/>
      <c r="J56" s="33"/>
      <c r="K56" s="33"/>
      <c r="L56" s="33"/>
      <c r="M56" s="33"/>
      <c r="N56" s="33"/>
      <c r="O56" s="33"/>
      <c r="P56" s="33"/>
      <c r="Q56" s="33"/>
      <c r="R56" s="33"/>
      <c r="S56" s="33"/>
      <c r="T56" s="33"/>
      <c r="U56" s="33"/>
      <c r="V56" s="33"/>
      <c r="W56" s="33"/>
    </row>
    <row r="57" spans="2:23">
      <c r="B57" s="1"/>
      <c r="C57" s="33"/>
      <c r="D57" s="33"/>
      <c r="E57" s="33"/>
      <c r="F57" s="33"/>
      <c r="G57" s="33"/>
      <c r="H57" s="33"/>
      <c r="I57" s="33"/>
      <c r="J57" s="33"/>
      <c r="K57" s="33"/>
      <c r="L57" s="33"/>
      <c r="M57" s="33"/>
      <c r="N57" s="33"/>
      <c r="O57" s="33"/>
      <c r="P57" s="33"/>
      <c r="Q57" s="33"/>
      <c r="R57" s="33"/>
      <c r="S57" s="33"/>
      <c r="T57" s="33"/>
      <c r="U57" s="33"/>
      <c r="V57" s="33"/>
      <c r="W57" s="33"/>
    </row>
    <row r="58" spans="2:23">
      <c r="B58" s="1"/>
      <c r="C58" s="33"/>
      <c r="D58" s="33"/>
      <c r="E58" s="33"/>
      <c r="F58" s="33"/>
      <c r="G58" s="33"/>
      <c r="H58" s="33"/>
      <c r="I58" s="33"/>
      <c r="J58" s="33"/>
      <c r="K58" s="33"/>
      <c r="L58" s="33"/>
      <c r="M58" s="33"/>
      <c r="N58" s="33"/>
      <c r="O58" s="33"/>
      <c r="P58" s="33"/>
      <c r="Q58" s="33"/>
      <c r="R58" s="33"/>
      <c r="S58" s="33"/>
      <c r="T58" s="33"/>
      <c r="U58" s="33"/>
      <c r="V58" s="33"/>
      <c r="W58" s="33"/>
    </row>
    <row r="59" spans="2:23">
      <c r="B59" s="1"/>
      <c r="C59" s="33"/>
      <c r="D59" s="33"/>
      <c r="E59" s="33"/>
      <c r="F59" s="33"/>
      <c r="G59" s="33"/>
      <c r="H59" s="33"/>
      <c r="I59" s="33"/>
      <c r="J59" s="33"/>
      <c r="K59" s="33"/>
      <c r="L59" s="33"/>
      <c r="M59" s="33"/>
      <c r="N59" s="33"/>
      <c r="O59" s="33"/>
      <c r="P59" s="33"/>
      <c r="Q59" s="33"/>
      <c r="R59" s="33"/>
      <c r="S59" s="33"/>
      <c r="T59" s="33"/>
      <c r="U59" s="33"/>
      <c r="V59" s="33"/>
      <c r="W59" s="33"/>
    </row>
    <row r="60" spans="2:23">
      <c r="B60" s="1"/>
      <c r="C60" s="33"/>
      <c r="D60" s="33"/>
      <c r="E60" s="33"/>
      <c r="F60" s="33"/>
      <c r="G60" s="33"/>
      <c r="H60" s="33"/>
      <c r="I60" s="33"/>
      <c r="J60" s="33"/>
      <c r="K60" s="33"/>
      <c r="L60" s="33"/>
      <c r="M60" s="33"/>
      <c r="N60" s="33"/>
      <c r="O60" s="33"/>
      <c r="P60" s="33"/>
      <c r="Q60" s="33"/>
      <c r="R60" s="33"/>
      <c r="S60" s="33"/>
      <c r="T60" s="33"/>
      <c r="U60" s="33"/>
      <c r="V60" s="33"/>
      <c r="W60" s="33"/>
    </row>
    <row r="61" spans="2:23">
      <c r="B61" s="1"/>
      <c r="C61" s="33"/>
      <c r="D61" s="33"/>
      <c r="E61" s="33"/>
      <c r="F61" s="33"/>
      <c r="G61" s="33"/>
      <c r="H61" s="33"/>
      <c r="I61" s="33"/>
      <c r="J61" s="33"/>
      <c r="K61" s="33"/>
      <c r="L61" s="33"/>
      <c r="M61" s="33"/>
      <c r="N61" s="33"/>
      <c r="O61" s="33"/>
      <c r="P61" s="33"/>
      <c r="Q61" s="33"/>
      <c r="R61" s="33"/>
      <c r="S61" s="33"/>
      <c r="T61" s="33"/>
      <c r="U61" s="33"/>
      <c r="V61" s="33"/>
      <c r="W61" s="33"/>
    </row>
    <row r="62" spans="2:23">
      <c r="B62" s="1"/>
      <c r="C62" s="33"/>
      <c r="D62" s="33"/>
      <c r="E62" s="33"/>
      <c r="F62" s="33"/>
      <c r="G62" s="33"/>
      <c r="H62" s="33"/>
      <c r="I62" s="33"/>
      <c r="J62" s="33"/>
      <c r="K62" s="33"/>
      <c r="L62" s="33"/>
      <c r="M62" s="33"/>
      <c r="N62" s="33"/>
      <c r="O62" s="33"/>
      <c r="P62" s="33"/>
      <c r="Q62" s="33"/>
      <c r="R62" s="33"/>
      <c r="S62" s="33"/>
      <c r="T62" s="33"/>
      <c r="U62" s="33"/>
      <c r="V62" s="33"/>
      <c r="W62" s="33"/>
    </row>
    <row r="63" spans="2:23">
      <c r="B63" s="1"/>
      <c r="C63" s="33"/>
      <c r="D63" s="33"/>
      <c r="E63" s="33"/>
      <c r="F63" s="33"/>
      <c r="G63" s="33"/>
      <c r="H63" s="33"/>
      <c r="I63" s="33"/>
      <c r="J63" s="33"/>
      <c r="K63" s="33"/>
      <c r="L63" s="33"/>
      <c r="M63" s="33"/>
      <c r="N63" s="33"/>
      <c r="O63" s="33"/>
      <c r="P63" s="33"/>
      <c r="Q63" s="33"/>
      <c r="R63" s="33"/>
      <c r="S63" s="33"/>
      <c r="T63" s="33"/>
      <c r="U63" s="33"/>
      <c r="V63" s="33"/>
      <c r="W63" s="33"/>
    </row>
    <row r="64" spans="2:23">
      <c r="B64" s="1"/>
      <c r="C64" s="33"/>
      <c r="D64" s="33"/>
      <c r="E64" s="33"/>
      <c r="F64" s="33"/>
      <c r="G64" s="33"/>
      <c r="H64" s="33"/>
      <c r="I64" s="33"/>
      <c r="J64" s="33"/>
      <c r="K64" s="33"/>
      <c r="L64" s="33"/>
      <c r="M64" s="33"/>
      <c r="N64" s="33"/>
      <c r="O64" s="33"/>
      <c r="P64" s="33"/>
      <c r="Q64" s="33"/>
      <c r="R64" s="33"/>
      <c r="S64" s="33"/>
      <c r="T64" s="33"/>
      <c r="U64" s="33"/>
      <c r="V64" s="33"/>
      <c r="W64" s="33"/>
    </row>
    <row r="65" spans="2:23">
      <c r="B65" s="1"/>
      <c r="C65" s="33"/>
      <c r="D65" s="33"/>
      <c r="E65" s="33"/>
      <c r="F65" s="33"/>
      <c r="G65" s="33"/>
      <c r="H65" s="33"/>
      <c r="I65" s="33"/>
      <c r="J65" s="33"/>
      <c r="K65" s="33"/>
      <c r="L65" s="33"/>
      <c r="M65" s="33"/>
      <c r="N65" s="33"/>
      <c r="O65" s="33"/>
      <c r="P65" s="33"/>
      <c r="Q65" s="33"/>
      <c r="R65" s="33"/>
      <c r="S65" s="33"/>
      <c r="T65" s="33"/>
      <c r="U65" s="33"/>
      <c r="V65" s="33"/>
      <c r="W65" s="33"/>
    </row>
    <row r="66" spans="2:23">
      <c r="B66" s="1"/>
      <c r="C66" s="33"/>
      <c r="D66" s="33"/>
      <c r="E66" s="33"/>
      <c r="F66" s="33"/>
      <c r="G66" s="33"/>
      <c r="H66" s="33"/>
      <c r="I66" s="33"/>
      <c r="J66" s="33"/>
      <c r="K66" s="33"/>
      <c r="L66" s="33"/>
      <c r="M66" s="33"/>
      <c r="N66" s="33"/>
      <c r="O66" s="33"/>
      <c r="P66" s="33"/>
      <c r="Q66" s="33"/>
      <c r="R66" s="33"/>
      <c r="S66" s="33"/>
      <c r="T66" s="33"/>
      <c r="U66" s="33"/>
      <c r="V66" s="33"/>
      <c r="W66" s="33"/>
    </row>
    <row r="67" spans="2:23">
      <c r="B67" s="1"/>
      <c r="C67" s="33"/>
      <c r="D67" s="33"/>
      <c r="E67" s="33"/>
      <c r="F67" s="33"/>
      <c r="G67" s="33"/>
      <c r="H67" s="33"/>
      <c r="I67" s="33"/>
      <c r="J67" s="33"/>
      <c r="K67" s="33"/>
      <c r="L67" s="33"/>
      <c r="M67" s="33"/>
      <c r="N67" s="33"/>
      <c r="O67" s="33"/>
      <c r="P67" s="33"/>
      <c r="Q67" s="33"/>
      <c r="R67" s="33"/>
      <c r="S67" s="33"/>
      <c r="T67" s="33"/>
      <c r="U67" s="33"/>
      <c r="V67" s="33"/>
      <c r="W67" s="33"/>
    </row>
    <row r="68" spans="2:23">
      <c r="B68" s="1"/>
      <c r="C68" s="33"/>
      <c r="D68" s="33"/>
      <c r="E68" s="33"/>
      <c r="F68" s="33"/>
      <c r="G68" s="33"/>
      <c r="H68" s="33"/>
      <c r="I68" s="33"/>
      <c r="J68" s="33"/>
      <c r="K68" s="33"/>
      <c r="L68" s="33"/>
      <c r="M68" s="33"/>
      <c r="N68" s="33"/>
      <c r="O68" s="33"/>
      <c r="P68" s="33"/>
      <c r="Q68" s="33"/>
      <c r="R68" s="33"/>
      <c r="S68" s="33"/>
      <c r="T68" s="33"/>
      <c r="U68" s="33"/>
      <c r="V68" s="33"/>
      <c r="W68" s="33"/>
    </row>
    <row r="69" spans="2:23">
      <c r="B69" s="1"/>
      <c r="C69" s="33"/>
      <c r="D69" s="33"/>
      <c r="E69" s="33"/>
      <c r="F69" s="33"/>
      <c r="G69" s="33"/>
      <c r="H69" s="33"/>
      <c r="I69" s="33"/>
      <c r="J69" s="33"/>
      <c r="K69" s="33"/>
      <c r="L69" s="33"/>
      <c r="M69" s="33"/>
      <c r="N69" s="33"/>
      <c r="O69" s="33"/>
      <c r="P69" s="33"/>
      <c r="Q69" s="33"/>
      <c r="R69" s="33"/>
      <c r="S69" s="33"/>
      <c r="T69" s="33"/>
      <c r="U69" s="33"/>
      <c r="V69" s="33"/>
      <c r="W69" s="33"/>
    </row>
    <row r="70" spans="2:23">
      <c r="B70" s="1"/>
      <c r="C70" s="33"/>
      <c r="D70" s="33"/>
      <c r="E70" s="33"/>
      <c r="F70" s="33"/>
      <c r="G70" s="33"/>
      <c r="H70" s="33"/>
      <c r="I70" s="33"/>
      <c r="J70" s="33"/>
      <c r="K70" s="33"/>
      <c r="L70" s="33"/>
      <c r="M70" s="33"/>
      <c r="N70" s="33"/>
      <c r="O70" s="33"/>
      <c r="P70" s="33"/>
      <c r="Q70" s="33"/>
      <c r="R70" s="33"/>
      <c r="S70" s="33"/>
      <c r="T70" s="33"/>
      <c r="U70" s="33"/>
      <c r="V70" s="33"/>
      <c r="W70" s="33"/>
    </row>
    <row r="71" spans="2:23">
      <c r="B71" s="1"/>
      <c r="C71" s="33"/>
      <c r="D71" s="33"/>
      <c r="E71" s="33"/>
      <c r="F71" s="33"/>
      <c r="G71" s="33"/>
      <c r="H71" s="33"/>
      <c r="I71" s="33"/>
      <c r="J71" s="33"/>
      <c r="K71" s="33"/>
      <c r="L71" s="33"/>
      <c r="M71" s="33"/>
      <c r="N71" s="33"/>
      <c r="O71" s="33"/>
      <c r="P71" s="33"/>
      <c r="Q71" s="33"/>
      <c r="R71" s="33"/>
      <c r="S71" s="33"/>
      <c r="T71" s="33"/>
      <c r="U71" s="33"/>
      <c r="V71" s="33"/>
      <c r="W71" s="33"/>
    </row>
    <row r="72" spans="2:23">
      <c r="B72" s="1"/>
      <c r="C72" s="33"/>
      <c r="D72" s="33"/>
      <c r="E72" s="33"/>
      <c r="F72" s="33"/>
      <c r="G72" s="33"/>
      <c r="H72" s="33"/>
      <c r="I72" s="33"/>
      <c r="J72" s="33"/>
      <c r="K72" s="33"/>
      <c r="L72" s="33"/>
      <c r="M72" s="33"/>
      <c r="N72" s="33"/>
      <c r="O72" s="33"/>
      <c r="P72" s="33"/>
      <c r="Q72" s="33"/>
      <c r="R72" s="33"/>
      <c r="S72" s="33"/>
      <c r="T72" s="33"/>
      <c r="U72" s="33"/>
      <c r="V72" s="33"/>
      <c r="W72" s="33"/>
    </row>
    <row r="73" spans="2:23">
      <c r="B73" s="1"/>
      <c r="C73" s="33"/>
      <c r="D73" s="33"/>
      <c r="E73" s="33"/>
      <c r="F73" s="33"/>
      <c r="G73" s="33"/>
      <c r="H73" s="33"/>
      <c r="I73" s="33"/>
      <c r="J73" s="33"/>
      <c r="K73" s="33"/>
      <c r="L73" s="33"/>
      <c r="M73" s="33"/>
      <c r="N73" s="33"/>
      <c r="O73" s="33"/>
      <c r="P73" s="33"/>
      <c r="Q73" s="33"/>
      <c r="R73" s="33"/>
      <c r="S73" s="33"/>
      <c r="T73" s="33"/>
      <c r="U73" s="33"/>
      <c r="V73" s="33"/>
      <c r="W73" s="33"/>
    </row>
    <row r="74" spans="2:23">
      <c r="B74" s="1"/>
      <c r="C74" s="33"/>
      <c r="D74" s="33"/>
      <c r="E74" s="33"/>
      <c r="F74" s="33"/>
      <c r="G74" s="33"/>
      <c r="H74" s="33"/>
      <c r="I74" s="33"/>
      <c r="J74" s="33"/>
      <c r="K74" s="33"/>
      <c r="L74" s="33"/>
      <c r="M74" s="33"/>
      <c r="N74" s="33"/>
      <c r="O74" s="33"/>
      <c r="P74" s="33"/>
      <c r="Q74" s="33"/>
      <c r="R74" s="33"/>
      <c r="S74" s="33"/>
      <c r="T74" s="33"/>
      <c r="U74" s="33"/>
      <c r="V74" s="33"/>
      <c r="W74" s="33"/>
    </row>
    <row r="75" spans="2:23">
      <c r="B75" s="1"/>
      <c r="C75" s="33"/>
      <c r="D75" s="33"/>
      <c r="E75" s="33"/>
      <c r="F75" s="33"/>
      <c r="G75" s="33"/>
      <c r="H75" s="33"/>
      <c r="I75" s="33"/>
      <c r="J75" s="33"/>
      <c r="K75" s="33"/>
      <c r="L75" s="33"/>
      <c r="M75" s="33"/>
      <c r="N75" s="33"/>
      <c r="O75" s="33"/>
      <c r="P75" s="33"/>
      <c r="Q75" s="33"/>
      <c r="R75" s="33"/>
      <c r="S75" s="33"/>
      <c r="T75" s="33"/>
      <c r="U75" s="33"/>
      <c r="V75" s="33"/>
      <c r="W75" s="33"/>
    </row>
    <row r="76" spans="2:23">
      <c r="B76" s="1"/>
      <c r="C76" s="33"/>
      <c r="D76" s="33"/>
      <c r="E76" s="33"/>
      <c r="F76" s="33"/>
      <c r="G76" s="33"/>
      <c r="H76" s="33"/>
      <c r="I76" s="33"/>
      <c r="J76" s="33"/>
      <c r="K76" s="33"/>
      <c r="L76" s="33"/>
      <c r="M76" s="33"/>
      <c r="N76" s="33"/>
      <c r="O76" s="33"/>
      <c r="P76" s="33"/>
      <c r="Q76" s="33"/>
      <c r="R76" s="33"/>
      <c r="S76" s="33"/>
      <c r="T76" s="33"/>
      <c r="U76" s="33"/>
      <c r="V76" s="33"/>
      <c r="W76" s="33"/>
    </row>
    <row r="77" spans="2:23">
      <c r="B77" s="1"/>
      <c r="C77" s="33"/>
      <c r="D77" s="33"/>
      <c r="E77" s="33"/>
      <c r="F77" s="33"/>
      <c r="G77" s="33"/>
      <c r="H77" s="33"/>
      <c r="I77" s="33"/>
      <c r="J77" s="33"/>
      <c r="K77" s="33"/>
      <c r="L77" s="33"/>
      <c r="M77" s="33"/>
      <c r="N77" s="33"/>
      <c r="O77" s="33"/>
      <c r="P77" s="33"/>
      <c r="Q77" s="33"/>
      <c r="R77" s="33"/>
      <c r="S77" s="33"/>
      <c r="T77" s="33"/>
      <c r="U77" s="33"/>
      <c r="V77" s="33"/>
      <c r="W77" s="33"/>
    </row>
    <row r="78" spans="2:23">
      <c r="B78" s="1"/>
      <c r="C78" s="33"/>
      <c r="D78" s="33"/>
      <c r="E78" s="33"/>
      <c r="F78" s="33"/>
      <c r="G78" s="33"/>
      <c r="H78" s="33"/>
      <c r="I78" s="33"/>
      <c r="J78" s="33"/>
      <c r="K78" s="33"/>
      <c r="L78" s="33"/>
      <c r="M78" s="33"/>
      <c r="N78" s="33"/>
      <c r="O78" s="33"/>
      <c r="P78" s="33"/>
      <c r="Q78" s="33"/>
      <c r="R78" s="33"/>
      <c r="S78" s="33"/>
      <c r="T78" s="33"/>
      <c r="U78" s="33"/>
      <c r="V78" s="33"/>
      <c r="W78" s="33"/>
    </row>
    <row r="79" spans="2:23">
      <c r="B79" s="1"/>
      <c r="C79" s="33"/>
      <c r="D79" s="33"/>
      <c r="E79" s="33"/>
      <c r="F79" s="33"/>
      <c r="G79" s="33"/>
      <c r="H79" s="33"/>
      <c r="I79" s="33"/>
      <c r="J79" s="33"/>
      <c r="K79" s="33"/>
      <c r="L79" s="33"/>
      <c r="M79" s="33"/>
      <c r="N79" s="33"/>
      <c r="O79" s="33"/>
      <c r="P79" s="33"/>
      <c r="Q79" s="33"/>
      <c r="R79" s="33"/>
      <c r="S79" s="33"/>
      <c r="T79" s="33"/>
      <c r="U79" s="33"/>
      <c r="V79" s="33"/>
      <c r="W79" s="33"/>
    </row>
    <row r="80" spans="2:23">
      <c r="B80" s="1"/>
      <c r="C80" s="33"/>
      <c r="D80" s="33"/>
      <c r="E80" s="33"/>
      <c r="F80" s="33"/>
      <c r="G80" s="33"/>
      <c r="H80" s="33"/>
      <c r="I80" s="33"/>
      <c r="J80" s="33"/>
      <c r="K80" s="33"/>
      <c r="L80" s="33"/>
      <c r="M80" s="33"/>
      <c r="N80" s="33"/>
      <c r="O80" s="33"/>
      <c r="P80" s="33"/>
      <c r="Q80" s="33"/>
      <c r="R80" s="33"/>
      <c r="S80" s="33"/>
      <c r="T80" s="33"/>
      <c r="U80" s="33"/>
      <c r="V80" s="33"/>
      <c r="W80" s="33"/>
    </row>
    <row r="81" spans="2:23">
      <c r="B81" s="1"/>
      <c r="C81" s="33"/>
      <c r="D81" s="33"/>
      <c r="E81" s="33"/>
      <c r="F81" s="33"/>
      <c r="G81" s="33"/>
      <c r="H81" s="33"/>
      <c r="I81" s="33"/>
      <c r="J81" s="33"/>
      <c r="K81" s="33"/>
      <c r="L81" s="33"/>
      <c r="M81" s="33"/>
      <c r="N81" s="33"/>
      <c r="O81" s="33"/>
      <c r="P81" s="33"/>
      <c r="Q81" s="33"/>
      <c r="R81" s="33"/>
      <c r="S81" s="33"/>
      <c r="T81" s="33"/>
      <c r="U81" s="33"/>
      <c r="V81" s="33"/>
      <c r="W81" s="33"/>
    </row>
    <row r="82" spans="2:23">
      <c r="B82" s="1"/>
      <c r="C82" s="33"/>
      <c r="D82" s="33"/>
      <c r="E82" s="33"/>
      <c r="F82" s="33"/>
      <c r="G82" s="33"/>
      <c r="H82" s="33"/>
      <c r="I82" s="33"/>
      <c r="J82" s="33"/>
      <c r="K82" s="33"/>
      <c r="L82" s="33"/>
      <c r="M82" s="33"/>
      <c r="N82" s="33"/>
      <c r="O82" s="33"/>
      <c r="P82" s="33"/>
      <c r="Q82" s="33"/>
      <c r="R82" s="33"/>
      <c r="S82" s="33"/>
      <c r="T82" s="33"/>
      <c r="U82" s="33"/>
      <c r="V82" s="33"/>
      <c r="W82" s="33"/>
    </row>
    <row r="83" spans="2:23">
      <c r="B83" s="1"/>
      <c r="C83" s="33"/>
      <c r="D83" s="33"/>
      <c r="E83" s="33"/>
      <c r="F83" s="33"/>
      <c r="G83" s="33"/>
      <c r="H83" s="33"/>
      <c r="I83" s="33"/>
      <c r="J83" s="33"/>
      <c r="K83" s="33"/>
      <c r="L83" s="33"/>
      <c r="M83" s="33"/>
      <c r="N83" s="33"/>
      <c r="O83" s="33"/>
      <c r="P83" s="33"/>
      <c r="Q83" s="33"/>
      <c r="R83" s="33"/>
      <c r="S83" s="33"/>
      <c r="T83" s="33"/>
      <c r="U83" s="33"/>
      <c r="V83" s="33"/>
      <c r="W83" s="33"/>
    </row>
    <row r="84" spans="2:23">
      <c r="B84" s="1"/>
      <c r="C84" s="33"/>
      <c r="D84" s="33"/>
      <c r="E84" s="33"/>
      <c r="F84" s="33"/>
      <c r="G84" s="33"/>
      <c r="H84" s="33"/>
      <c r="I84" s="33"/>
      <c r="J84" s="33"/>
      <c r="K84" s="33"/>
      <c r="L84" s="33"/>
      <c r="M84" s="33"/>
      <c r="N84" s="33"/>
      <c r="O84" s="33"/>
      <c r="P84" s="33"/>
      <c r="Q84" s="33"/>
      <c r="R84" s="33"/>
      <c r="S84" s="33"/>
      <c r="T84" s="33"/>
      <c r="U84" s="33"/>
      <c r="V84" s="33"/>
      <c r="W84" s="33"/>
    </row>
    <row r="85" spans="2:23">
      <c r="B85" s="1"/>
      <c r="C85" s="33"/>
      <c r="D85" s="33"/>
      <c r="E85" s="33"/>
      <c r="F85" s="33"/>
      <c r="G85" s="33"/>
      <c r="H85" s="33"/>
      <c r="I85" s="33"/>
      <c r="J85" s="33"/>
      <c r="K85" s="33"/>
      <c r="L85" s="33"/>
      <c r="M85" s="33"/>
      <c r="N85" s="33"/>
      <c r="O85" s="33"/>
      <c r="P85" s="33"/>
      <c r="Q85" s="33"/>
      <c r="R85" s="33"/>
      <c r="S85" s="33"/>
      <c r="T85" s="33"/>
      <c r="U85" s="33"/>
      <c r="V85" s="33"/>
      <c r="W85" s="33"/>
    </row>
    <row r="86" spans="2:23">
      <c r="B86" s="1"/>
      <c r="C86" s="33"/>
      <c r="D86" s="33"/>
      <c r="E86" s="33"/>
      <c r="F86" s="33"/>
      <c r="G86" s="33"/>
      <c r="H86" s="33"/>
      <c r="I86" s="33"/>
      <c r="J86" s="33"/>
      <c r="K86" s="33"/>
      <c r="L86" s="33"/>
      <c r="M86" s="33"/>
      <c r="N86" s="33"/>
      <c r="O86" s="33"/>
      <c r="P86" s="33"/>
      <c r="Q86" s="33"/>
      <c r="R86" s="33"/>
      <c r="S86" s="33"/>
      <c r="T86" s="33"/>
      <c r="U86" s="33"/>
      <c r="V86" s="33"/>
      <c r="W86" s="33"/>
    </row>
    <row r="87" spans="2:23">
      <c r="B87" s="1"/>
      <c r="C87" s="33"/>
      <c r="D87" s="33"/>
      <c r="E87" s="33"/>
      <c r="F87" s="33"/>
      <c r="G87" s="33"/>
      <c r="H87" s="33"/>
      <c r="I87" s="33"/>
      <c r="J87" s="33"/>
      <c r="K87" s="33"/>
      <c r="L87" s="33"/>
      <c r="M87" s="33"/>
      <c r="N87" s="33"/>
      <c r="O87" s="33"/>
      <c r="P87" s="33"/>
      <c r="Q87" s="33"/>
      <c r="R87" s="33"/>
      <c r="S87" s="33"/>
      <c r="T87" s="33"/>
      <c r="U87" s="33"/>
      <c r="V87" s="33"/>
      <c r="W87" s="33"/>
    </row>
    <row r="88" spans="2:23">
      <c r="B88" s="1"/>
      <c r="C88" s="33"/>
      <c r="D88" s="33"/>
      <c r="E88" s="33"/>
      <c r="F88" s="33"/>
      <c r="G88" s="33"/>
      <c r="H88" s="33"/>
      <c r="I88" s="33"/>
      <c r="J88" s="33"/>
      <c r="K88" s="33"/>
      <c r="L88" s="33"/>
      <c r="M88" s="33"/>
      <c r="N88" s="33"/>
      <c r="O88" s="33"/>
      <c r="P88" s="33"/>
      <c r="Q88" s="33"/>
      <c r="R88" s="33"/>
      <c r="S88" s="33"/>
      <c r="T88" s="33"/>
      <c r="U88" s="33"/>
      <c r="V88" s="33"/>
      <c r="W88" s="33"/>
    </row>
  </sheetData>
  <printOptions horizontalCentered="1"/>
  <pageMargins left="0.25" right="0.25" top="1" bottom="1" header="0.65" footer="0.5"/>
  <pageSetup scale="70" orientation="landscape" r:id="rId1"/>
  <headerFooter alignWithMargins="0">
    <oddHeader xml:space="preserve">&amp;R&amp;16AEP - SPP Formula Rate
Actual/Projected NITS Rates
Page: &amp;P of &amp;N
</oddHeader>
    <oddFooter xml:space="preserve">&amp;C &amp;R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Q56"/>
  <sheetViews>
    <sheetView topLeftCell="A4" zoomScale="80" zoomScaleNormal="80" zoomScaleSheetLayoutView="75" workbookViewId="0">
      <selection activeCell="O34" sqref="O34"/>
    </sheetView>
  </sheetViews>
  <sheetFormatPr defaultRowHeight="15"/>
  <cols>
    <col min="1" max="1" width="10.42578125" style="68" customWidth="1"/>
    <col min="2" max="2" width="12.7109375" style="56" customWidth="1"/>
    <col min="3" max="3" width="59.28515625" style="42" customWidth="1"/>
    <col min="4" max="4" width="17.85546875" style="42" customWidth="1"/>
    <col min="5" max="5" width="24.42578125" style="42" customWidth="1"/>
    <col min="6" max="6" width="17.28515625" style="42" customWidth="1"/>
    <col min="7" max="7" width="42" style="42" customWidth="1"/>
    <col min="8" max="8" width="13.85546875" style="42" customWidth="1"/>
    <col min="9" max="10" width="12.7109375" style="42" customWidth="1"/>
    <col min="11" max="11" width="13.28515625" style="42" customWidth="1"/>
    <col min="12" max="19" width="9.140625" style="42"/>
    <col min="20" max="20" width="9.28515625" bestFit="1" customWidth="1"/>
    <col min="21" max="21" width="8.85546875" customWidth="1"/>
    <col min="22" max="22" width="9.28515625" bestFit="1" customWidth="1"/>
    <col min="23" max="23" width="8.85546875" customWidth="1"/>
    <col min="24" max="24" width="10.85546875" bestFit="1" customWidth="1"/>
    <col min="25" max="25" width="8.85546875" customWidth="1"/>
    <col min="26" max="26" width="10.85546875" bestFit="1" customWidth="1"/>
    <col min="27" max="27" width="8.85546875" customWidth="1"/>
    <col min="28" max="28" width="10.7109375" bestFit="1" customWidth="1"/>
    <col min="29" max="29" width="8.85546875" customWidth="1"/>
    <col min="30" max="30" width="9.28515625" bestFit="1" customWidth="1"/>
    <col min="31" max="31" width="8.85546875" customWidth="1"/>
    <col min="32" max="32" width="11.5703125" bestFit="1" customWidth="1"/>
    <col min="33" max="33" width="8.85546875" customWidth="1"/>
    <col min="34" max="34" width="11.5703125" bestFit="1" customWidth="1"/>
    <col min="35" max="35" width="8.85546875" customWidth="1"/>
    <col min="36" max="36" width="11" bestFit="1" customWidth="1"/>
    <col min="37" max="37" width="8.85546875" customWidth="1"/>
    <col min="38" max="38" width="9.28515625" bestFit="1" customWidth="1"/>
    <col min="39" max="39" width="8.85546875" customWidth="1"/>
    <col min="40" max="40" width="11.5703125" bestFit="1" customWidth="1"/>
    <col min="41" max="43" width="8.85546875" customWidth="1"/>
    <col min="44" max="16384" width="9.140625" style="42"/>
  </cols>
  <sheetData>
    <row r="1" spans="1:11" ht="23.25" customHeight="1">
      <c r="A1" s="1600" t="str">
        <f>+'PSO WS H Rev Credits'!A2:N2</f>
        <v xml:space="preserve">AEP West SPP Member Operating Companies </v>
      </c>
      <c r="B1" s="1600"/>
      <c r="C1" s="1600"/>
      <c r="D1" s="1600"/>
      <c r="E1" s="1600"/>
      <c r="F1" s="1600"/>
      <c r="G1" s="1600"/>
      <c r="H1" s="324"/>
    </row>
    <row r="2" spans="1:11" ht="18.75" customHeight="1">
      <c r="A2" s="1600" t="str">
        <f>+'PSO WS A RB Support '!A2:G2</f>
        <v xml:space="preserve">Actual / Projected 2019 Rate Year Cost of Service Formula Rate </v>
      </c>
      <c r="B2" s="1600"/>
      <c r="C2" s="1600"/>
      <c r="D2" s="1600"/>
      <c r="E2" s="1600"/>
      <c r="F2" s="1600"/>
      <c r="G2" s="1600"/>
      <c r="H2" s="384"/>
      <c r="I2" s="384"/>
      <c r="J2" s="384"/>
      <c r="K2" s="384"/>
    </row>
    <row r="3" spans="1:11" ht="19.5" customHeight="1">
      <c r="A3" s="1601" t="s">
        <v>134</v>
      </c>
      <c r="B3" s="1600"/>
      <c r="C3" s="1600"/>
      <c r="D3" s="1600"/>
      <c r="E3" s="1600"/>
      <c r="F3" s="1600"/>
      <c r="G3" s="1600"/>
    </row>
    <row r="4" spans="1:11" ht="18" customHeight="1">
      <c r="A4" s="1574" t="str">
        <f>+'PSO WS A RB Support '!A4:F4</f>
        <v>PUBLIC SERVICE COMPANY OF OKLAHOMA</v>
      </c>
      <c r="B4" s="1574"/>
      <c r="C4" s="1574"/>
      <c r="D4" s="1574"/>
      <c r="E4" s="1574"/>
      <c r="F4" s="1574"/>
      <c r="G4" s="1574"/>
    </row>
    <row r="5" spans="1:11" ht="12.75" customHeight="1">
      <c r="A5" s="1556"/>
      <c r="B5" s="1556"/>
      <c r="C5" s="1556"/>
      <c r="D5" s="1556"/>
      <c r="E5" s="1556"/>
      <c r="F5" s="1556"/>
      <c r="G5" s="61"/>
    </row>
    <row r="6" spans="1:11" ht="18">
      <c r="A6" s="1563"/>
      <c r="B6" s="1563"/>
      <c r="C6" s="1563"/>
      <c r="D6" s="1563"/>
      <c r="E6" s="1563"/>
      <c r="F6" s="1563"/>
      <c r="G6" s="1563"/>
    </row>
    <row r="7" spans="1:11" ht="18">
      <c r="A7" s="385"/>
      <c r="B7" s="385"/>
      <c r="C7" s="385"/>
      <c r="D7" s="385"/>
      <c r="E7" s="385"/>
      <c r="F7" s="385"/>
      <c r="G7" s="385"/>
    </row>
    <row r="8" spans="1:11" ht="15.75">
      <c r="B8" s="63" t="s">
        <v>338</v>
      </c>
      <c r="C8" s="63" t="s">
        <v>339</v>
      </c>
      <c r="D8" s="63" t="s">
        <v>340</v>
      </c>
      <c r="E8" s="63" t="s">
        <v>341</v>
      </c>
      <c r="F8" s="63" t="s">
        <v>266</v>
      </c>
      <c r="G8" s="63" t="s">
        <v>267</v>
      </c>
    </row>
    <row r="9" spans="1:11" ht="15.75">
      <c r="B9" s="354"/>
      <c r="C9" s="61"/>
      <c r="D9" s="182"/>
      <c r="E9" s="183"/>
      <c r="F9" s="184" t="s">
        <v>269</v>
      </c>
      <c r="G9" s="63"/>
    </row>
    <row r="10" spans="1:11" ht="15.75">
      <c r="A10" s="67" t="s">
        <v>345</v>
      </c>
      <c r="B10" s="67" t="s">
        <v>176</v>
      </c>
      <c r="C10" s="355"/>
      <c r="D10" s="67">
        <f>+'PSO TCOS'!N1</f>
        <v>2019</v>
      </c>
      <c r="E10" s="184" t="s">
        <v>269</v>
      </c>
      <c r="F10" s="67" t="s">
        <v>292</v>
      </c>
      <c r="G10" s="63" t="s">
        <v>476</v>
      </c>
    </row>
    <row r="11" spans="1:11" ht="15.75">
      <c r="A11" s="67" t="s">
        <v>283</v>
      </c>
      <c r="B11" s="67" t="s">
        <v>177</v>
      </c>
      <c r="C11" s="67" t="s">
        <v>343</v>
      </c>
      <c r="D11" s="67" t="s">
        <v>252</v>
      </c>
      <c r="E11" s="67" t="s">
        <v>271</v>
      </c>
      <c r="F11" s="67" t="s">
        <v>253</v>
      </c>
      <c r="G11" s="1025" t="s">
        <v>477</v>
      </c>
    </row>
    <row r="12" spans="1:11" ht="15.75">
      <c r="B12" s="67"/>
      <c r="C12" s="67"/>
      <c r="D12" s="67"/>
      <c r="E12" s="67"/>
      <c r="F12" s="67"/>
      <c r="G12" s="67"/>
    </row>
    <row r="13" spans="1:11" ht="15.75">
      <c r="B13" s="68"/>
      <c r="C13" s="133" t="s">
        <v>398</v>
      </c>
      <c r="D13" s="61"/>
      <c r="E13" s="61"/>
      <c r="F13" s="61"/>
      <c r="G13" s="61"/>
    </row>
    <row r="14" spans="1:11" ht="15.75">
      <c r="A14" s="336">
        <v>1</v>
      </c>
      <c r="B14" s="881">
        <v>928</v>
      </c>
      <c r="C14" s="880" t="s">
        <v>1078</v>
      </c>
      <c r="D14" s="876">
        <f>+'[4]Inputs 2019'!$E$313</f>
        <v>2394307.6842809501</v>
      </c>
      <c r="E14" s="876">
        <f>+D14</f>
        <v>2394307.6842809501</v>
      </c>
      <c r="F14" s="876">
        <v>0</v>
      </c>
      <c r="G14" s="877"/>
      <c r="I14" s="314"/>
      <c r="J14" s="314"/>
    </row>
    <row r="15" spans="1:11" ht="15.75">
      <c r="A15" s="336">
        <f t="shared" ref="A15:A28" si="0">+A14+1</f>
        <v>2</v>
      </c>
      <c r="B15" s="874"/>
      <c r="C15" s="875"/>
      <c r="D15" s="876"/>
      <c r="E15" s="876"/>
      <c r="F15" s="876"/>
      <c r="G15" s="877"/>
      <c r="I15" s="314"/>
      <c r="J15" s="314"/>
    </row>
    <row r="16" spans="1:11">
      <c r="A16" s="336">
        <f t="shared" si="0"/>
        <v>3</v>
      </c>
      <c r="B16" s="874"/>
      <c r="C16" s="875"/>
      <c r="D16" s="876"/>
      <c r="E16" s="876"/>
      <c r="F16" s="876"/>
      <c r="G16" s="877"/>
    </row>
    <row r="17" spans="1:8">
      <c r="A17" s="336">
        <f t="shared" si="0"/>
        <v>4</v>
      </c>
      <c r="B17" s="874"/>
      <c r="C17" s="875"/>
      <c r="D17" s="876"/>
      <c r="E17" s="876"/>
      <c r="F17" s="876"/>
      <c r="G17" s="877"/>
    </row>
    <row r="18" spans="1:8">
      <c r="A18" s="336">
        <f t="shared" si="0"/>
        <v>5</v>
      </c>
      <c r="B18" s="874"/>
      <c r="C18" s="875"/>
      <c r="D18" s="876"/>
      <c r="E18" s="876"/>
      <c r="F18" s="876"/>
      <c r="G18" s="877"/>
    </row>
    <row r="19" spans="1:8">
      <c r="A19" s="336">
        <f t="shared" si="0"/>
        <v>6</v>
      </c>
      <c r="B19" s="874"/>
      <c r="C19" s="875"/>
      <c r="D19" s="876"/>
      <c r="E19" s="876"/>
      <c r="F19" s="876"/>
      <c r="G19" s="877"/>
    </row>
    <row r="20" spans="1:8">
      <c r="A20" s="336">
        <f t="shared" si="0"/>
        <v>7</v>
      </c>
      <c r="B20" s="874"/>
      <c r="C20" s="875"/>
      <c r="D20" s="876"/>
      <c r="E20" s="876"/>
      <c r="F20" s="876"/>
      <c r="G20" s="877"/>
    </row>
    <row r="21" spans="1:8">
      <c r="A21" s="336">
        <f t="shared" si="0"/>
        <v>8</v>
      </c>
      <c r="B21" s="874"/>
      <c r="C21" s="875"/>
      <c r="D21" s="876"/>
      <c r="E21" s="876"/>
      <c r="F21" s="876"/>
      <c r="G21" s="877"/>
    </row>
    <row r="22" spans="1:8">
      <c r="A22" s="336">
        <f t="shared" si="0"/>
        <v>9</v>
      </c>
      <c r="B22" s="874"/>
      <c r="C22" s="875"/>
      <c r="D22" s="876"/>
      <c r="E22" s="876"/>
      <c r="F22" s="876"/>
      <c r="G22" s="877"/>
    </row>
    <row r="23" spans="1:8">
      <c r="A23" s="336">
        <f t="shared" si="0"/>
        <v>10</v>
      </c>
      <c r="B23" s="874"/>
      <c r="C23" s="875"/>
      <c r="D23" s="878"/>
      <c r="E23" s="876"/>
      <c r="F23" s="876"/>
      <c r="G23" s="877"/>
    </row>
    <row r="24" spans="1:8">
      <c r="A24" s="336">
        <f t="shared" si="0"/>
        <v>11</v>
      </c>
      <c r="B24" s="827"/>
      <c r="C24" s="829"/>
      <c r="D24" s="831"/>
      <c r="E24" s="831"/>
      <c r="F24" s="830"/>
      <c r="G24" s="832"/>
    </row>
    <row r="25" spans="1:8">
      <c r="A25" s="336">
        <f t="shared" si="0"/>
        <v>12</v>
      </c>
      <c r="B25" s="827"/>
      <c r="C25" s="829"/>
      <c r="D25" s="831"/>
      <c r="E25" s="831"/>
      <c r="F25" s="830"/>
      <c r="G25" s="832"/>
    </row>
    <row r="26" spans="1:8">
      <c r="A26" s="336">
        <f t="shared" si="0"/>
        <v>13</v>
      </c>
      <c r="B26" s="827"/>
      <c r="C26" s="829"/>
      <c r="D26" s="831"/>
      <c r="E26" s="831"/>
      <c r="F26" s="830"/>
      <c r="G26" s="832"/>
    </row>
    <row r="27" spans="1:8">
      <c r="A27" s="336">
        <f t="shared" si="0"/>
        <v>14</v>
      </c>
      <c r="B27" s="827"/>
      <c r="C27" s="829"/>
      <c r="D27" s="831"/>
      <c r="E27" s="831"/>
      <c r="F27" s="830"/>
      <c r="G27" s="832"/>
    </row>
    <row r="28" spans="1:8">
      <c r="A28" s="336">
        <f t="shared" si="0"/>
        <v>15</v>
      </c>
      <c r="B28" s="827"/>
      <c r="C28" s="829"/>
      <c r="D28" s="831"/>
      <c r="E28" s="831"/>
      <c r="F28" s="830"/>
      <c r="G28" s="832"/>
    </row>
    <row r="29" spans="1:8">
      <c r="B29" s="724"/>
      <c r="C29" s="298"/>
      <c r="D29" s="356"/>
      <c r="E29" s="357"/>
      <c r="F29" s="358"/>
      <c r="G29" s="61"/>
    </row>
    <row r="30" spans="1:8" ht="15.75">
      <c r="A30" s="68">
        <f>+A28+1</f>
        <v>16</v>
      </c>
      <c r="B30" s="723"/>
      <c r="C30" s="1026" t="s">
        <v>1098</v>
      </c>
      <c r="D30" s="359">
        <f>SUM(D14:D28)</f>
        <v>2394307.6842809501</v>
      </c>
      <c r="E30" s="359">
        <f>SUM(E14:E28)</f>
        <v>2394307.6842809501</v>
      </c>
      <c r="F30" s="359">
        <f>SUM(F14:F28)</f>
        <v>0</v>
      </c>
      <c r="G30" s="326"/>
    </row>
    <row r="31" spans="1:8" ht="15.75">
      <c r="B31" s="723"/>
      <c r="C31" s="360"/>
      <c r="D31" s="83"/>
      <c r="E31" s="61"/>
      <c r="F31" s="61"/>
      <c r="G31" s="61"/>
    </row>
    <row r="32" spans="1:8" ht="15.75">
      <c r="B32" s="722"/>
      <c r="C32" s="133" t="s">
        <v>397</v>
      </c>
      <c r="D32" s="61"/>
      <c r="E32" s="61"/>
      <c r="F32" s="61"/>
      <c r="G32" s="61"/>
      <c r="H32"/>
    </row>
    <row r="33" spans="1:19">
      <c r="A33" s="68">
        <f>A30+1</f>
        <v>17</v>
      </c>
      <c r="B33" s="881" t="s">
        <v>1076</v>
      </c>
      <c r="C33" s="880" t="s">
        <v>815</v>
      </c>
      <c r="D33" s="876">
        <f>+'[4]Inputs 2019'!$E$315</f>
        <v>220868.309000876</v>
      </c>
      <c r="E33" s="831">
        <f>+D33</f>
        <v>220868.309000876</v>
      </c>
      <c r="F33" s="831"/>
      <c r="G33" s="830"/>
      <c r="H33"/>
    </row>
    <row r="34" spans="1:19">
      <c r="A34" s="68">
        <f>+A33+1</f>
        <v>18</v>
      </c>
      <c r="B34" s="827"/>
      <c r="C34" s="828"/>
      <c r="D34" s="831"/>
      <c r="E34" s="831"/>
      <c r="F34" s="831"/>
      <c r="G34" s="830"/>
      <c r="H34"/>
    </row>
    <row r="35" spans="1:19">
      <c r="A35" s="68">
        <f>+A34+1</f>
        <v>19</v>
      </c>
      <c r="B35" s="827"/>
      <c r="C35" s="828"/>
      <c r="D35" s="831"/>
      <c r="E35" s="831"/>
      <c r="F35" s="831"/>
      <c r="G35" s="830"/>
      <c r="H35"/>
      <c r="M35" s="57"/>
      <c r="N35" s="57"/>
      <c r="O35" s="59"/>
      <c r="P35" s="59"/>
      <c r="Q35" s="59"/>
      <c r="R35" s="59"/>
      <c r="S35" s="59"/>
    </row>
    <row r="36" spans="1:19">
      <c r="A36" s="68">
        <f>+A35+1</f>
        <v>20</v>
      </c>
      <c r="B36" s="827"/>
      <c r="C36" s="828"/>
      <c r="D36" s="831"/>
      <c r="E36" s="831"/>
      <c r="F36" s="831"/>
      <c r="G36" s="830"/>
      <c r="H36"/>
      <c r="M36" s="57"/>
      <c r="N36" s="57"/>
      <c r="O36" s="59"/>
      <c r="P36" s="59"/>
      <c r="Q36" s="59"/>
      <c r="R36" s="59"/>
      <c r="S36" s="59"/>
    </row>
    <row r="37" spans="1:19">
      <c r="A37" s="68">
        <f>+A36+1</f>
        <v>21</v>
      </c>
      <c r="B37" s="827"/>
      <c r="C37" s="828"/>
      <c r="D37" s="831"/>
      <c r="E37" s="831"/>
      <c r="F37" s="831"/>
      <c r="G37" s="830"/>
      <c r="H37"/>
      <c r="M37" s="57"/>
      <c r="N37" s="57"/>
      <c r="O37" s="59"/>
      <c r="P37" s="59"/>
      <c r="Q37" s="59"/>
      <c r="R37" s="59"/>
      <c r="S37" s="59"/>
    </row>
    <row r="38" spans="1:19">
      <c r="B38" s="725"/>
      <c r="C38" s="703"/>
      <c r="D38" s="655"/>
      <c r="E38" s="655"/>
      <c r="F38" s="655"/>
      <c r="G38" s="655"/>
      <c r="H38"/>
    </row>
    <row r="39" spans="1:19">
      <c r="B39" s="724"/>
      <c r="C39" s="61"/>
      <c r="D39" s="372"/>
      <c r="E39" s="373"/>
      <c r="F39" s="372"/>
      <c r="G39" s="61"/>
      <c r="H39"/>
    </row>
    <row r="40" spans="1:19" ht="15.75">
      <c r="A40" s="68">
        <f>+A37+1</f>
        <v>22</v>
      </c>
      <c r="B40" s="723"/>
      <c r="C40" s="1024" t="s">
        <v>1099</v>
      </c>
      <c r="D40" s="374">
        <f>SUM(D33:D39)</f>
        <v>220868.309000876</v>
      </c>
      <c r="E40" s="374">
        <f>SUM(E33:E39)</f>
        <v>220868.309000876</v>
      </c>
      <c r="F40" s="374">
        <f>SUM(F33:F39)</f>
        <v>0</v>
      </c>
      <c r="G40" s="58"/>
    </row>
    <row r="41" spans="1:19" ht="12.75" customHeight="1">
      <c r="B41" s="169"/>
      <c r="C41" s="52"/>
      <c r="D41" s="375"/>
      <c r="E41" s="375"/>
      <c r="F41" s="375"/>
      <c r="G41" s="52"/>
    </row>
    <row r="42" spans="1:19" ht="15.75">
      <c r="B42" s="721"/>
      <c r="C42" s="133" t="s">
        <v>396</v>
      </c>
      <c r="D42" s="330"/>
      <c r="E42" s="330"/>
      <c r="F42" s="330"/>
      <c r="G42" s="63"/>
    </row>
    <row r="43" spans="1:19">
      <c r="A43" s="68">
        <f>+A40+1</f>
        <v>23</v>
      </c>
      <c r="B43" s="879" t="s">
        <v>1077</v>
      </c>
      <c r="C43" s="880" t="s">
        <v>816</v>
      </c>
      <c r="D43" s="876">
        <f>+'[4]Inputs 2019'!$E$317</f>
        <v>4225195.7624133006</v>
      </c>
      <c r="E43" s="831">
        <f>+D43</f>
        <v>4225195.7624133006</v>
      </c>
      <c r="F43" s="831"/>
      <c r="G43" s="830"/>
      <c r="H43"/>
      <c r="I43"/>
    </row>
    <row r="44" spans="1:19">
      <c r="A44" s="68">
        <f>+A43+1</f>
        <v>24</v>
      </c>
      <c r="B44" s="833"/>
      <c r="C44" s="828"/>
      <c r="D44" s="831"/>
      <c r="E44" s="831"/>
      <c r="F44" s="831"/>
      <c r="G44" s="830"/>
      <c r="H44"/>
      <c r="I44"/>
    </row>
    <row r="45" spans="1:19">
      <c r="A45" s="68">
        <f>+A44+1</f>
        <v>25</v>
      </c>
      <c r="B45" s="833"/>
      <c r="C45" s="828"/>
      <c r="D45" s="831"/>
      <c r="E45" s="831"/>
      <c r="F45" s="831"/>
      <c r="G45" s="830"/>
      <c r="H45"/>
      <c r="I45"/>
    </row>
    <row r="46" spans="1:19">
      <c r="A46" s="68">
        <f>+A45+1</f>
        <v>26</v>
      </c>
      <c r="B46" s="833"/>
      <c r="C46" s="828"/>
      <c r="D46" s="831"/>
      <c r="E46" s="831"/>
      <c r="F46" s="831"/>
      <c r="G46" s="830"/>
      <c r="H46"/>
      <c r="I46"/>
      <c r="J46" s="59"/>
      <c r="K46" s="59"/>
    </row>
    <row r="47" spans="1:19">
      <c r="A47" s="68">
        <f>+A46+1</f>
        <v>27</v>
      </c>
      <c r="B47" s="833"/>
      <c r="C47" s="828"/>
      <c r="D47" s="831"/>
      <c r="E47" s="831"/>
      <c r="F47" s="831"/>
      <c r="G47" s="830"/>
      <c r="H47"/>
      <c r="I47"/>
    </row>
    <row r="48" spans="1:19">
      <c r="B48" s="52"/>
      <c r="C48" s="52"/>
      <c r="D48" s="52"/>
      <c r="E48" s="52"/>
      <c r="F48" s="52"/>
      <c r="G48" s="52"/>
    </row>
    <row r="49" spans="1:10" ht="15.75">
      <c r="A49" s="68">
        <f>+A47+1</f>
        <v>28</v>
      </c>
      <c r="B49" s="52"/>
      <c r="C49" s="1024" t="s">
        <v>1100</v>
      </c>
      <c r="D49" s="359">
        <f>SUM(D43:D48)</f>
        <v>4225195.7624133006</v>
      </c>
      <c r="E49" s="361">
        <f>SUM(E43:E48)</f>
        <v>4225195.7624133006</v>
      </c>
      <c r="F49" s="361">
        <f>SUM(F43:F48)</f>
        <v>0</v>
      </c>
      <c r="G49" s="58"/>
      <c r="J49" s="323"/>
    </row>
    <row r="50" spans="1:10">
      <c r="B50" s="38"/>
      <c r="C50" s="38"/>
      <c r="D50" s="342"/>
      <c r="E50" s="38"/>
      <c r="F50" s="38"/>
      <c r="G50" s="38"/>
    </row>
    <row r="52" spans="1:10" ht="47.25" customHeight="1">
      <c r="B52" s="1599"/>
      <c r="C52" s="1599"/>
      <c r="D52" s="1599"/>
      <c r="E52" s="1599"/>
      <c r="F52" s="1599"/>
      <c r="G52" s="1599"/>
    </row>
    <row r="53" spans="1:10">
      <c r="D53" s="334"/>
    </row>
    <row r="56" spans="1:10">
      <c r="D56" s="335"/>
    </row>
  </sheetData>
  <mergeCells count="7">
    <mergeCell ref="B52:G52"/>
    <mergeCell ref="A1:G1"/>
    <mergeCell ref="A6:G6"/>
    <mergeCell ref="A5:F5"/>
    <mergeCell ref="A2:G2"/>
    <mergeCell ref="A3:G3"/>
    <mergeCell ref="A4:G4"/>
  </mergeCells>
  <phoneticPr fontId="0" type="noConversion"/>
  <conditionalFormatting sqref="H40 K14:K15 H49:I49 H30:I30 H14:H28">
    <cfRule type="cellIs" dxfId="5" priority="4" stopIfTrue="1" operator="equal">
      <formula>FALSE</formula>
    </cfRule>
  </conditionalFormatting>
  <printOptions horizontalCentered="1"/>
  <pageMargins left="0.75" right="0.75" top="1" bottom="0.25" header="0.65" footer="0.5"/>
  <pageSetup scale="48" orientation="portrait" r:id="rId1"/>
  <headerFooter alignWithMargins="0">
    <oddHeader xml:space="preserve">&amp;R&amp;12AEP - SPP Formula Rate
 TCOS - WS J
Page: &amp;P of &amp;N&amp;16
</oddHead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L52"/>
  <sheetViews>
    <sheetView zoomScale="81" zoomScaleNormal="81" zoomScaleSheetLayoutView="75" workbookViewId="0">
      <selection activeCell="O34" sqref="O34"/>
    </sheetView>
  </sheetViews>
  <sheetFormatPr defaultColWidth="8.85546875" defaultRowHeight="12.75"/>
  <cols>
    <col min="1" max="1" width="9.28515625" style="38" bestFit="1" customWidth="1"/>
    <col min="2" max="2" width="32.5703125" style="38" customWidth="1"/>
    <col min="3" max="4" width="8.85546875" style="38"/>
    <col min="5" max="5" width="15" style="38" customWidth="1"/>
    <col min="6" max="6" width="11" style="38" bestFit="1" customWidth="1"/>
    <col min="7" max="7" width="10.85546875" style="38" customWidth="1"/>
    <col min="8" max="8" width="5" style="38" customWidth="1"/>
    <col min="9" max="9" width="21" style="38" bestFit="1" customWidth="1"/>
    <col min="10" max="10" width="2.140625" style="38" customWidth="1"/>
    <col min="11" max="11" width="15.5703125" style="38" bestFit="1" customWidth="1"/>
    <col min="12" max="12" width="4.85546875" style="38" customWidth="1"/>
    <col min="13" max="16384" width="8.85546875" style="38"/>
  </cols>
  <sheetData>
    <row r="1" spans="1:12" ht="18">
      <c r="A1" s="1556" t="str">
        <f>+'PSO TCOS'!F3</f>
        <v xml:space="preserve">AEP West SPP Member Operating Companies </v>
      </c>
      <c r="B1" s="1556"/>
      <c r="C1" s="1556"/>
      <c r="D1" s="1556"/>
      <c r="E1" s="1556"/>
      <c r="F1" s="1556"/>
      <c r="G1" s="1556"/>
      <c r="H1" s="1556"/>
      <c r="I1" s="415"/>
      <c r="J1" s="415"/>
    </row>
    <row r="2" spans="1:12" ht="18">
      <c r="A2" s="1553" t="str">
        <f>+'PSO WS A RB Support '!$A$2:$G$2</f>
        <v xml:space="preserve">Actual / Projected 2019 Rate Year Cost of Service Formula Rate </v>
      </c>
      <c r="B2" s="1553"/>
      <c r="C2" s="1553"/>
      <c r="D2" s="1553"/>
      <c r="E2" s="1553"/>
      <c r="F2" s="1553"/>
      <c r="G2" s="1553"/>
      <c r="H2" s="1553"/>
      <c r="I2" s="415"/>
      <c r="J2" s="415"/>
    </row>
    <row r="3" spans="1:12" ht="18">
      <c r="A3" s="1554" t="s">
        <v>135</v>
      </c>
      <c r="B3" s="1553"/>
      <c r="C3" s="1553"/>
      <c r="D3" s="1553"/>
      <c r="E3" s="1553"/>
      <c r="F3" s="1553"/>
      <c r="G3" s="1553"/>
      <c r="H3" s="1553"/>
      <c r="I3" s="415"/>
      <c r="J3" s="415"/>
    </row>
    <row r="4" spans="1:12" ht="18">
      <c r="A4" s="1574" t="str">
        <f>+'PSO TCOS'!F7</f>
        <v>PUBLIC SERVICE COMPANY OF OKLAHOMA</v>
      </c>
      <c r="B4" s="1574"/>
      <c r="C4" s="1574"/>
      <c r="D4" s="1574"/>
      <c r="E4" s="1574"/>
      <c r="F4" s="1574"/>
      <c r="G4" s="1574"/>
      <c r="I4" s="415"/>
      <c r="J4" s="415"/>
    </row>
    <row r="6" spans="1:12" ht="21.75" customHeight="1">
      <c r="A6" s="1029" t="s">
        <v>347</v>
      </c>
      <c r="B6" s="137" t="str">
        <f>"DEVELOPMENT OF COMPOSITE STATE INCOME TAX  RATES FOR "&amp;'PSO TCOS'!$N$1&amp;""</f>
        <v>DEVELOPMENT OF COMPOSITE STATE INCOME TAX  RATES FOR 2019</v>
      </c>
      <c r="C6" s="137"/>
      <c r="D6" s="137"/>
      <c r="E6" s="137"/>
      <c r="F6" s="137"/>
      <c r="G6" s="137"/>
      <c r="H6" s="137"/>
      <c r="I6" s="137"/>
      <c r="J6" s="137"/>
    </row>
    <row r="7" spans="1:12" ht="12.75" customHeight="1">
      <c r="A7" s="137"/>
    </row>
    <row r="8" spans="1:12" ht="18">
      <c r="A8" s="340"/>
      <c r="B8" s="1041" t="s">
        <v>152</v>
      </c>
      <c r="C8" s="1041"/>
      <c r="D8" s="65" t="s">
        <v>153</v>
      </c>
      <c r="E8" s="656">
        <f>+'[4]Inputs 2019'!$E$368</f>
        <v>5.6599999999999998E-2</v>
      </c>
      <c r="F8" s="52"/>
      <c r="G8" s="54"/>
      <c r="H8" s="54"/>
      <c r="L8" s="198"/>
    </row>
    <row r="9" spans="1:12" ht="15">
      <c r="A9" s="198"/>
      <c r="B9" s="51" t="s">
        <v>378</v>
      </c>
      <c r="C9" s="64"/>
      <c r="D9" s="64"/>
      <c r="E9" s="656">
        <f>+'[4]Inputs 2019'!$E$369</f>
        <v>0.96920700000000004</v>
      </c>
      <c r="F9" s="52"/>
      <c r="G9" s="54"/>
      <c r="H9" s="54"/>
      <c r="L9" s="198"/>
    </row>
    <row r="10" spans="1:12" ht="15">
      <c r="A10" s="198"/>
      <c r="B10" s="51" t="s">
        <v>49</v>
      </c>
      <c r="C10" s="64"/>
      <c r="D10" s="64"/>
      <c r="E10" s="52"/>
      <c r="F10" s="210">
        <f>ROUND(E8*E9,6)</f>
        <v>5.4857000000000003E-2</v>
      </c>
      <c r="G10" s="54"/>
      <c r="L10" s="198"/>
    </row>
    <row r="11" spans="1:12" ht="15">
      <c r="A11" s="198"/>
      <c r="B11" s="51"/>
      <c r="C11" s="64"/>
      <c r="D11" s="64"/>
      <c r="E11" s="64"/>
      <c r="F11" s="66"/>
      <c r="G11" s="54"/>
      <c r="L11" s="198"/>
    </row>
    <row r="12" spans="1:12" ht="15">
      <c r="A12" s="198"/>
      <c r="B12" s="1041" t="s">
        <v>1306</v>
      </c>
      <c r="C12" s="1041"/>
      <c r="D12" s="64"/>
      <c r="E12" s="656"/>
      <c r="F12" s="210"/>
      <c r="G12" s="54"/>
      <c r="L12" s="198"/>
    </row>
    <row r="13" spans="1:12" ht="15">
      <c r="A13" s="198"/>
      <c r="B13" s="51" t="s">
        <v>378</v>
      </c>
      <c r="C13" s="64"/>
      <c r="D13" s="64"/>
      <c r="E13" s="656"/>
      <c r="F13" s="210"/>
      <c r="G13" s="54"/>
      <c r="L13" s="198"/>
    </row>
    <row r="14" spans="1:12" ht="15">
      <c r="A14" s="198"/>
      <c r="B14" s="51" t="s">
        <v>49</v>
      </c>
      <c r="C14" s="64"/>
      <c r="D14" s="64"/>
      <c r="E14" s="52"/>
      <c r="F14" s="210">
        <f>ROUND(E12*E13,6)</f>
        <v>0</v>
      </c>
      <c r="G14" s="54"/>
      <c r="L14" s="198"/>
    </row>
    <row r="15" spans="1:12" ht="15">
      <c r="A15" s="198"/>
      <c r="B15" s="51"/>
      <c r="C15" s="64"/>
      <c r="D15" s="64"/>
      <c r="E15" s="64"/>
      <c r="F15" s="210"/>
      <c r="G15" s="54"/>
      <c r="L15" s="198"/>
    </row>
    <row r="16" spans="1:12" ht="15">
      <c r="A16" s="198"/>
      <c r="B16" s="1041" t="s">
        <v>1307</v>
      </c>
      <c r="C16" s="1041"/>
      <c r="D16" s="504"/>
      <c r="E16" s="656"/>
      <c r="F16" s="505"/>
      <c r="G16" s="54"/>
      <c r="L16" s="198"/>
    </row>
    <row r="17" spans="1:12" ht="15">
      <c r="A17" s="198"/>
      <c r="B17" s="51" t="s">
        <v>378</v>
      </c>
      <c r="C17" s="64"/>
      <c r="D17" s="504"/>
      <c r="E17" s="656"/>
      <c r="F17" s="505"/>
      <c r="G17" s="54"/>
      <c r="L17" s="198"/>
    </row>
    <row r="18" spans="1:12" ht="15">
      <c r="A18" s="198"/>
      <c r="B18" s="51" t="s">
        <v>49</v>
      </c>
      <c r="C18" s="64"/>
      <c r="D18" s="504"/>
      <c r="E18" s="52"/>
      <c r="F18" s="210">
        <f>ROUND(E16*E17,6)</f>
        <v>0</v>
      </c>
      <c r="G18" s="54"/>
      <c r="L18" s="198"/>
    </row>
    <row r="19" spans="1:12" ht="15">
      <c r="A19" s="198"/>
      <c r="B19" s="51"/>
      <c r="C19" s="64"/>
      <c r="D19" s="504"/>
      <c r="E19" s="64"/>
      <c r="F19" s="210"/>
      <c r="G19" s="54"/>
      <c r="L19" s="198"/>
    </row>
    <row r="20" spans="1:12" ht="15">
      <c r="A20" s="198"/>
      <c r="B20" s="1041" t="s">
        <v>1307</v>
      </c>
      <c r="C20" s="1041"/>
      <c r="D20" s="504"/>
      <c r="E20" s="656"/>
      <c r="F20" s="210"/>
      <c r="G20" s="54"/>
      <c r="L20" s="198"/>
    </row>
    <row r="21" spans="1:12" ht="15">
      <c r="A21" s="198"/>
      <c r="B21" s="51" t="s">
        <v>378</v>
      </c>
      <c r="C21" s="504"/>
      <c r="D21" s="504"/>
      <c r="E21" s="656"/>
      <c r="F21" s="210"/>
      <c r="G21" s="54"/>
      <c r="L21" s="198"/>
    </row>
    <row r="22" spans="1:12" ht="15">
      <c r="A22" s="198"/>
      <c r="B22" s="51" t="s">
        <v>49</v>
      </c>
      <c r="C22" s="504"/>
      <c r="D22" s="504"/>
      <c r="E22" s="506"/>
      <c r="F22" s="210">
        <f>ROUND(E20*E21,6)</f>
        <v>0</v>
      </c>
      <c r="G22" s="54"/>
      <c r="L22" s="198"/>
    </row>
    <row r="23" spans="1:12" ht="15">
      <c r="A23" s="198"/>
      <c r="B23" s="51"/>
      <c r="C23" s="64"/>
      <c r="D23" s="64"/>
      <c r="E23" s="52"/>
      <c r="F23" s="210"/>
      <c r="G23" s="54"/>
      <c r="L23" s="198"/>
    </row>
    <row r="24" spans="1:12" ht="15">
      <c r="A24" s="198"/>
      <c r="B24" s="1041" t="s">
        <v>482</v>
      </c>
      <c r="C24" s="1041"/>
      <c r="D24" s="504"/>
      <c r="E24" s="656"/>
      <c r="F24" s="210"/>
      <c r="G24" s="54"/>
      <c r="L24" s="198"/>
    </row>
    <row r="25" spans="1:12" ht="15">
      <c r="A25" s="198"/>
      <c r="B25" s="51" t="s">
        <v>378</v>
      </c>
      <c r="C25" s="504"/>
      <c r="D25" s="504"/>
      <c r="E25" s="656"/>
      <c r="F25" s="210"/>
      <c r="G25" s="54"/>
      <c r="L25" s="198"/>
    </row>
    <row r="26" spans="1:12" ht="15">
      <c r="A26" s="198"/>
      <c r="B26" s="51" t="s">
        <v>49</v>
      </c>
      <c r="C26" s="504"/>
      <c r="D26" s="504"/>
      <c r="E26" s="506"/>
      <c r="F26" s="210">
        <f>ROUND(E24*E25,6)</f>
        <v>0</v>
      </c>
      <c r="G26" s="54"/>
      <c r="L26" s="198"/>
    </row>
    <row r="27" spans="1:12" ht="15">
      <c r="A27" s="198"/>
      <c r="B27" s="51"/>
      <c r="C27" s="64"/>
      <c r="D27" s="64"/>
      <c r="E27" s="52"/>
      <c r="F27" s="210"/>
      <c r="G27" s="54"/>
      <c r="L27" s="198"/>
    </row>
    <row r="28" spans="1:12" ht="15.75" thickBot="1">
      <c r="A28" s="198"/>
      <c r="B28" s="52" t="s">
        <v>379</v>
      </c>
      <c r="C28" s="64"/>
      <c r="D28" s="64"/>
      <c r="E28" s="52"/>
      <c r="F28" s="211">
        <f>+ROUND(SUM(F9:F27),4)</f>
        <v>5.4899999999999997E-2</v>
      </c>
      <c r="G28" s="54"/>
      <c r="I28" s="417"/>
      <c r="L28" s="198"/>
    </row>
    <row r="29" spans="1:12" ht="13.5" thickTop="1">
      <c r="A29" s="198"/>
      <c r="G29" s="54"/>
      <c r="L29" s="198"/>
    </row>
    <row r="30" spans="1:12" ht="15">
      <c r="A30" s="198"/>
      <c r="B30" s="1042" t="s">
        <v>1150</v>
      </c>
      <c r="G30" s="54"/>
      <c r="L30" s="198"/>
    </row>
    <row r="31" spans="1:12" ht="15">
      <c r="A31" s="198"/>
      <c r="B31" s="52" t="s">
        <v>155</v>
      </c>
      <c r="G31" s="54"/>
      <c r="L31" s="198"/>
    </row>
    <row r="32" spans="1:12" ht="15">
      <c r="A32" s="198"/>
      <c r="B32" s="52"/>
      <c r="G32" s="54"/>
      <c r="L32" s="198"/>
    </row>
    <row r="33" spans="1:12" ht="18">
      <c r="A33" s="1029" t="s">
        <v>348</v>
      </c>
      <c r="B33" s="137" t="s">
        <v>409</v>
      </c>
      <c r="C33" s="52"/>
      <c r="D33" s="52"/>
      <c r="E33" s="52"/>
      <c r="F33" s="52"/>
    </row>
    <row r="34" spans="1:12" ht="18">
      <c r="C34" s="137"/>
      <c r="I34" s="1602" t="s">
        <v>555</v>
      </c>
      <c r="J34" s="1602"/>
      <c r="K34" s="1602"/>
      <c r="L34" s="52"/>
    </row>
    <row r="35" spans="1:12" ht="15">
      <c r="I35" s="52"/>
      <c r="J35" s="52"/>
      <c r="K35" s="52"/>
      <c r="L35" s="52"/>
    </row>
    <row r="36" spans="1:12" ht="15">
      <c r="I36" s="324" t="s">
        <v>50</v>
      </c>
      <c r="J36" s="324"/>
      <c r="K36" s="324" t="s">
        <v>51</v>
      </c>
      <c r="L36" s="52"/>
    </row>
    <row r="37" spans="1:12" ht="15">
      <c r="A37" s="324" t="s">
        <v>179</v>
      </c>
      <c r="B37" s="14" t="str">
        <f>"REVENUE REQUIREMENT BEFORE TEXAS GROSS MARGIN TAX (TCOS ln "&amp;'PSO TCOS'!B187&amp;") "</f>
        <v xml:space="preserve">REVENUE REQUIREMENT BEFORE TEXAS GROSS MARGIN TAX (TCOS ln 114) </v>
      </c>
      <c r="I37" s="1045">
        <f>+'PSO TCOS'!G184</f>
        <v>374008397.08648777</v>
      </c>
      <c r="J37" s="52"/>
      <c r="K37" s="1045">
        <f>+'PSO TCOS'!L184</f>
        <v>97521772.229186505</v>
      </c>
      <c r="L37" s="52"/>
    </row>
    <row r="38" spans="1:12" ht="15">
      <c r="A38" s="52"/>
      <c r="B38" s="14"/>
      <c r="I38" s="52"/>
      <c r="J38" s="52"/>
      <c r="K38" s="52"/>
      <c r="L38" s="52"/>
    </row>
    <row r="39" spans="1:12" ht="15">
      <c r="A39" s="324">
        <v>1</v>
      </c>
      <c r="B39" s="14" t="str">
        <f>"Apportionment Factor to Texas (ln"&amp;A52&amp;")"</f>
        <v>Apportionment Factor to Texas (ln12)</v>
      </c>
      <c r="I39" s="418">
        <f>+$E52</f>
        <v>0</v>
      </c>
      <c r="J39" s="52"/>
      <c r="K39" s="418">
        <f>+$E52</f>
        <v>0</v>
      </c>
      <c r="L39" s="52"/>
    </row>
    <row r="40" spans="1:12" ht="15">
      <c r="A40" s="324">
        <f t="shared" ref="A40:A45" si="0">+A39+1</f>
        <v>2</v>
      </c>
      <c r="B40" s="14" t="s">
        <v>52</v>
      </c>
      <c r="I40" s="246">
        <f>+I37*I39</f>
        <v>0</v>
      </c>
      <c r="J40" s="52"/>
      <c r="K40" s="246">
        <f>+K37*K39</f>
        <v>0</v>
      </c>
      <c r="L40" s="52"/>
    </row>
    <row r="41" spans="1:12" ht="15">
      <c r="A41" s="324">
        <f t="shared" si="0"/>
        <v>3</v>
      </c>
      <c r="B41" s="14" t="s">
        <v>1152</v>
      </c>
      <c r="I41" s="1050">
        <v>0.22</v>
      </c>
      <c r="J41" s="52"/>
      <c r="K41" s="1049">
        <f>+I41</f>
        <v>0.22</v>
      </c>
      <c r="L41" s="52"/>
    </row>
    <row r="42" spans="1:12" ht="15">
      <c r="A42" s="324">
        <f t="shared" si="0"/>
        <v>4</v>
      </c>
      <c r="B42" s="14" t="s">
        <v>53</v>
      </c>
      <c r="I42" s="383">
        <f>+I40*I41</f>
        <v>0</v>
      </c>
      <c r="J42" s="52"/>
      <c r="K42" s="383">
        <f>+K40*K41</f>
        <v>0</v>
      </c>
      <c r="L42" s="52"/>
    </row>
    <row r="43" spans="1:12" ht="15">
      <c r="A43" s="324">
        <f t="shared" si="0"/>
        <v>5</v>
      </c>
      <c r="B43" s="14" t="s">
        <v>1153</v>
      </c>
      <c r="I43" s="1049">
        <v>0.01</v>
      </c>
      <c r="J43" s="52"/>
      <c r="K43" s="1049">
        <f>+I43</f>
        <v>0.01</v>
      </c>
      <c r="L43" s="52"/>
    </row>
    <row r="44" spans="1:12" ht="15">
      <c r="A44" s="324">
        <f t="shared" si="0"/>
        <v>6</v>
      </c>
      <c r="B44" s="14" t="s">
        <v>54</v>
      </c>
      <c r="I44" s="49">
        <f>+I42*I43</f>
        <v>0</v>
      </c>
      <c r="J44" s="52"/>
      <c r="K44" s="49">
        <f>+K42*K43</f>
        <v>0</v>
      </c>
      <c r="L44" s="52"/>
    </row>
    <row r="45" spans="1:12" ht="15">
      <c r="A45" s="324">
        <f t="shared" si="0"/>
        <v>7</v>
      </c>
      <c r="B45" s="15" t="s">
        <v>55</v>
      </c>
      <c r="I45" s="74">
        <f>+ROUND((I44*I41*I39)/(1-I43)*I43,0)</f>
        <v>0</v>
      </c>
      <c r="J45" s="52"/>
      <c r="K45" s="74">
        <f>+ROUND((K44*K41*K39)/(1-K43)*K43,0)</f>
        <v>0</v>
      </c>
      <c r="L45" s="52"/>
    </row>
    <row r="46" spans="1:12" ht="15">
      <c r="A46" s="324"/>
      <c r="B46" s="15"/>
      <c r="D46" s="1044" t="str">
        <f>"   ((ln "&amp;A44&amp;" * ln "&amp;A41&amp;" * ln "&amp;A39&amp;")/(1- ln "&amp;A43&amp;") * ln "&amp;A43&amp;")"</f>
        <v xml:space="preserve">   ((ln 6 * ln 3 * ln 1)/(1- ln 5) * ln 5)</v>
      </c>
      <c r="I46" s="74"/>
      <c r="J46" s="52"/>
      <c r="K46" s="74"/>
      <c r="L46" s="52"/>
    </row>
    <row r="47" spans="1:12" ht="15">
      <c r="A47" s="324">
        <f>+A45+1</f>
        <v>8</v>
      </c>
      <c r="B47" s="15" t="s">
        <v>44</v>
      </c>
      <c r="I47" s="419">
        <f>+I44+I45</f>
        <v>0</v>
      </c>
      <c r="J47" s="52"/>
      <c r="K47" s="419">
        <f>+K44+K45</f>
        <v>0</v>
      </c>
      <c r="L47" s="52"/>
    </row>
    <row r="48" spans="1:12" ht="15">
      <c r="A48" s="324"/>
      <c r="I48" s="52"/>
      <c r="J48" s="52"/>
      <c r="K48" s="52"/>
      <c r="L48" s="52"/>
    </row>
    <row r="49" spans="1:7" ht="15">
      <c r="A49" s="324">
        <f>+A47+1</f>
        <v>9</v>
      </c>
      <c r="B49" s="16" t="s">
        <v>56</v>
      </c>
      <c r="C49" s="48"/>
      <c r="D49" s="8"/>
      <c r="E49" s="5"/>
    </row>
    <row r="50" spans="1:7" ht="15">
      <c r="A50" s="324">
        <f>+A49+1</f>
        <v>10</v>
      </c>
      <c r="B50" s="16" t="s">
        <v>57</v>
      </c>
      <c r="C50" s="48"/>
      <c r="D50" s="8"/>
      <c r="E50" s="1048">
        <v>0</v>
      </c>
      <c r="F50" s="38" t="s">
        <v>5</v>
      </c>
      <c r="G50" s="332"/>
    </row>
    <row r="51" spans="1:7" ht="15">
      <c r="A51" s="324">
        <f>+A50+1</f>
        <v>11</v>
      </c>
      <c r="B51" s="16" t="s">
        <v>58</v>
      </c>
      <c r="C51" s="48"/>
      <c r="D51" s="8"/>
      <c r="E51" s="1048">
        <v>0</v>
      </c>
      <c r="F51" s="38" t="s">
        <v>5</v>
      </c>
    </row>
    <row r="52" spans="1:7" ht="15">
      <c r="A52" s="324">
        <f>+A51+1</f>
        <v>12</v>
      </c>
      <c r="B52" s="16" t="s">
        <v>59</v>
      </c>
      <c r="C52" s="48" t="str">
        <f>"(ln "&amp;A50&amp;" / ln "&amp;A51&amp;")"</f>
        <v>(ln 10 / ln 11)</v>
      </c>
      <c r="D52" s="8"/>
      <c r="E52" s="212">
        <f>IF(E51=0,0,E50/E51)</f>
        <v>0</v>
      </c>
    </row>
  </sheetData>
  <mergeCells count="5">
    <mergeCell ref="I34:K34"/>
    <mergeCell ref="A1:H1"/>
    <mergeCell ref="A2:H2"/>
    <mergeCell ref="A3:H3"/>
    <mergeCell ref="A4:G4"/>
  </mergeCells>
  <phoneticPr fontId="0" type="noConversion"/>
  <printOptions horizontalCentered="1"/>
  <pageMargins left="0.25" right="0.25" top="1" bottom="0.25" header="0.25" footer="0.5"/>
  <pageSetup scale="65" orientation="landscape" r:id="rId1"/>
  <headerFooter alignWithMargins="0">
    <oddHeader xml:space="preserve">&amp;R&amp;12AEP - SPP Formula Rate
TCOS - WS K
Page: &amp;P of &amp;N
</oddHeader>
    <oddFooter xml:space="preserve">&amp;C &amp;R </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C188"/>
  <sheetViews>
    <sheetView showGridLines="0" zoomScale="70" zoomScaleNormal="70" zoomScaleSheetLayoutView="75" zoomScalePageLayoutView="90" workbookViewId="0">
      <selection activeCell="O34" sqref="O34"/>
    </sheetView>
  </sheetViews>
  <sheetFormatPr defaultRowHeight="12.75"/>
  <cols>
    <col min="1" max="1" width="7.28515625" style="413" customWidth="1"/>
    <col min="2" max="2" width="1.7109375" style="389" customWidth="1"/>
    <col min="3" max="3" width="77" style="389" customWidth="1"/>
    <col min="4" max="4" width="1.7109375" style="389" customWidth="1"/>
    <col min="5" max="5" width="20.42578125" style="414" customWidth="1"/>
    <col min="6" max="6" width="1.7109375" style="387" customWidth="1"/>
    <col min="7" max="7" width="20" style="387" bestFit="1" customWidth="1"/>
    <col min="8" max="8" width="1.7109375" style="387" customWidth="1"/>
    <col min="9" max="9" width="21.42578125" style="387" customWidth="1"/>
    <col min="10" max="10" width="1.7109375" style="387" customWidth="1"/>
    <col min="11" max="11" width="17.7109375" style="387" bestFit="1" customWidth="1"/>
    <col min="12" max="12" width="3.42578125" style="387" customWidth="1"/>
    <col min="13" max="13" width="21.28515625" style="387" bestFit="1" customWidth="1"/>
    <col min="14" max="14" width="1.7109375" style="387" hidden="1" customWidth="1"/>
    <col min="15" max="15" width="22.140625" style="387" customWidth="1"/>
    <col min="16" max="20" width="9.140625" style="387"/>
    <col min="21" max="21" width="13" style="387" customWidth="1"/>
    <col min="22" max="16384" width="9.140625" style="387"/>
  </cols>
  <sheetData>
    <row r="1" spans="1:29" ht="18.75" customHeight="1">
      <c r="A1" s="1556" t="str">
        <f>+'PSO TCOS'!F3</f>
        <v xml:space="preserve">AEP West SPP Member Operating Companies </v>
      </c>
      <c r="B1" s="1556"/>
      <c r="C1" s="1556"/>
      <c r="D1" s="1556"/>
      <c r="E1" s="1556"/>
      <c r="F1" s="1556"/>
      <c r="G1" s="1556"/>
      <c r="H1" s="1556"/>
      <c r="I1" s="1556"/>
      <c r="J1" s="1556"/>
      <c r="K1" s="1556"/>
      <c r="L1" s="1556"/>
      <c r="M1" s="1556"/>
    </row>
    <row r="2" spans="1:29" ht="18.75" customHeight="1">
      <c r="A2" s="1553" t="str">
        <f>+'PSO WS A RB Support '!A2:G2</f>
        <v xml:space="preserve">Actual / Projected 2019 Rate Year Cost of Service Formula Rate </v>
      </c>
      <c r="B2" s="1553"/>
      <c r="C2" s="1553"/>
      <c r="D2" s="1553"/>
      <c r="E2" s="1553"/>
      <c r="F2" s="1553"/>
      <c r="G2" s="1553"/>
      <c r="H2" s="1553"/>
      <c r="I2" s="1553"/>
      <c r="J2" s="1553"/>
      <c r="K2" s="1553"/>
      <c r="L2" s="1553"/>
      <c r="M2" s="1553"/>
    </row>
    <row r="3" spans="1:29" ht="18.75" customHeight="1">
      <c r="A3" s="1554" t="s">
        <v>136</v>
      </c>
      <c r="B3" s="1553"/>
      <c r="C3" s="1553"/>
      <c r="D3" s="1553"/>
      <c r="E3" s="1553"/>
      <c r="F3" s="1553"/>
      <c r="G3" s="1553"/>
      <c r="H3" s="1553"/>
      <c r="I3" s="1553"/>
      <c r="J3" s="1553"/>
      <c r="K3" s="1553"/>
      <c r="L3" s="1553"/>
      <c r="M3" s="1553"/>
    </row>
    <row r="4" spans="1:29" ht="18" customHeight="1">
      <c r="A4" s="1557" t="str">
        <f>+'PSO TCOS'!F7</f>
        <v>PUBLIC SERVICE COMPANY OF OKLAHOMA</v>
      </c>
      <c r="B4" s="1557"/>
      <c r="C4" s="1557"/>
      <c r="D4" s="1557"/>
      <c r="E4" s="1557"/>
      <c r="F4" s="1557"/>
      <c r="G4" s="1557"/>
      <c r="H4" s="1557"/>
      <c r="I4" s="1557"/>
      <c r="J4" s="1557"/>
      <c r="K4" s="1557"/>
      <c r="L4" s="1557"/>
      <c r="M4" s="1557"/>
    </row>
    <row r="5" spans="1:29" ht="18" customHeight="1">
      <c r="A5" s="1604"/>
      <c r="B5" s="1604"/>
      <c r="C5" s="1604"/>
      <c r="D5" s="1604"/>
      <c r="E5" s="1604"/>
      <c r="F5" s="1604"/>
      <c r="G5" s="1604"/>
      <c r="H5" s="1604"/>
      <c r="I5" s="1604"/>
      <c r="J5" s="1604"/>
      <c r="K5" s="1604"/>
      <c r="L5" s="1604"/>
      <c r="M5" s="1604"/>
    </row>
    <row r="6" spans="1:29" ht="18" customHeight="1">
      <c r="A6" s="1603"/>
      <c r="B6" s="1603"/>
      <c r="C6" s="1603"/>
      <c r="D6" s="1603"/>
      <c r="E6" s="1603"/>
      <c r="F6" s="1603"/>
      <c r="G6" s="1603"/>
      <c r="H6" s="1603"/>
      <c r="I6" s="1603"/>
      <c r="J6" s="1603"/>
      <c r="K6" s="1603"/>
      <c r="L6" s="1603"/>
      <c r="M6" s="1603"/>
    </row>
    <row r="7" spans="1:29" ht="18" customHeight="1">
      <c r="A7" s="385"/>
      <c r="B7" s="385"/>
      <c r="C7" s="385"/>
      <c r="D7" s="385"/>
      <c r="E7" s="385"/>
      <c r="F7" s="385"/>
      <c r="G7" s="385"/>
      <c r="H7" s="385"/>
      <c r="I7" s="385"/>
      <c r="J7" s="385"/>
      <c r="K7" s="385"/>
      <c r="L7" s="385"/>
      <c r="M7" s="385"/>
    </row>
    <row r="8" spans="1:29" ht="19.5" customHeight="1">
      <c r="A8" s="388"/>
      <c r="B8" s="186"/>
      <c r="C8" s="63" t="s">
        <v>338</v>
      </c>
      <c r="E8" s="63" t="s">
        <v>339</v>
      </c>
      <c r="G8" s="63" t="s">
        <v>340</v>
      </c>
      <c r="I8" s="63" t="s">
        <v>341</v>
      </c>
      <c r="K8" s="63" t="s">
        <v>266</v>
      </c>
      <c r="M8" s="63" t="s">
        <v>267</v>
      </c>
    </row>
    <row r="9" spans="1:29" ht="18">
      <c r="A9" s="390"/>
      <c r="B9" s="391"/>
      <c r="C9" s="391"/>
      <c r="D9" s="391"/>
      <c r="E9" s="38"/>
      <c r="F9" s="38"/>
      <c r="G9" s="38"/>
      <c r="H9" s="38"/>
      <c r="I9" s="38"/>
      <c r="J9" s="38"/>
      <c r="K9" s="38"/>
      <c r="L9" s="38"/>
      <c r="M9" s="38"/>
      <c r="Q9" s="324"/>
      <c r="R9" s="324"/>
      <c r="S9" s="324"/>
      <c r="T9" s="324"/>
      <c r="U9" s="324"/>
      <c r="V9" s="324"/>
      <c r="W9" s="324"/>
      <c r="X9" s="324"/>
      <c r="Y9" s="324"/>
      <c r="Z9" s="324"/>
      <c r="AA9" s="324"/>
      <c r="AB9" s="324"/>
      <c r="AC9" s="324"/>
    </row>
    <row r="10" spans="1:29" ht="19.5">
      <c r="A10" s="390" t="s">
        <v>345</v>
      </c>
      <c r="B10" s="391"/>
      <c r="C10" s="391"/>
      <c r="D10" s="391"/>
      <c r="E10" s="392" t="s">
        <v>295</v>
      </c>
      <c r="F10" s="390"/>
      <c r="G10" s="390"/>
      <c r="H10" s="390"/>
      <c r="I10" s="390"/>
      <c r="J10" s="390"/>
      <c r="K10" s="393"/>
      <c r="L10" s="393"/>
      <c r="M10" s="394"/>
    </row>
    <row r="11" spans="1:29" ht="19.5">
      <c r="A11" s="395" t="s">
        <v>294</v>
      </c>
      <c r="B11" s="391"/>
      <c r="C11" s="395" t="s">
        <v>439</v>
      </c>
      <c r="D11" s="391"/>
      <c r="E11" s="396" t="s">
        <v>357</v>
      </c>
      <c r="F11" s="390"/>
      <c r="G11" s="395" t="s">
        <v>440</v>
      </c>
      <c r="H11" s="390"/>
      <c r="I11" s="395" t="s">
        <v>337</v>
      </c>
      <c r="J11" s="390"/>
      <c r="K11" s="397" t="s">
        <v>355</v>
      </c>
      <c r="L11" s="398"/>
      <c r="M11" s="397" t="s">
        <v>441</v>
      </c>
    </row>
    <row r="12" spans="1:29" ht="19.5">
      <c r="A12" s="399"/>
      <c r="B12" s="186"/>
      <c r="C12" s="400"/>
      <c r="D12" s="400"/>
      <c r="E12" s="400"/>
      <c r="F12" s="400"/>
      <c r="G12" s="400"/>
      <c r="H12" s="400"/>
      <c r="I12" s="400"/>
      <c r="J12" s="400"/>
      <c r="K12" s="168"/>
      <c r="L12" s="168"/>
    </row>
    <row r="13" spans="1:29" ht="19.5">
      <c r="A13" s="388"/>
      <c r="B13" s="186"/>
      <c r="C13" s="892"/>
      <c r="D13" s="186"/>
      <c r="E13" s="401"/>
      <c r="F13" s="402"/>
      <c r="G13" s="402"/>
      <c r="H13" s="402"/>
      <c r="I13" s="401"/>
      <c r="J13" s="402"/>
      <c r="K13" s="168"/>
      <c r="L13" s="168"/>
    </row>
    <row r="14" spans="1:29" ht="19.5">
      <c r="A14" s="388">
        <v>1</v>
      </c>
      <c r="B14" s="186"/>
      <c r="C14" s="403" t="s">
        <v>444</v>
      </c>
      <c r="D14" s="186"/>
      <c r="E14" s="168"/>
      <c r="F14" s="168"/>
      <c r="G14" s="404"/>
      <c r="H14" s="404"/>
      <c r="I14" s="404"/>
      <c r="J14" s="404"/>
      <c r="K14" s="404"/>
      <c r="L14" s="404"/>
      <c r="M14" s="404"/>
    </row>
    <row r="15" spans="1:29" ht="19.5">
      <c r="A15" s="388">
        <f>+A14+1</f>
        <v>2</v>
      </c>
      <c r="B15" s="186"/>
      <c r="C15" s="826" t="s">
        <v>1304</v>
      </c>
      <c r="D15" s="186"/>
      <c r="E15" s="826">
        <v>0</v>
      </c>
      <c r="F15" s="168"/>
      <c r="G15" s="826"/>
      <c r="H15" s="826"/>
      <c r="I15" s="826"/>
      <c r="J15" s="826"/>
      <c r="K15" s="826"/>
      <c r="L15" s="826"/>
      <c r="M15" s="826">
        <f>+E15</f>
        <v>0</v>
      </c>
    </row>
    <row r="16" spans="1:29" ht="19.5">
      <c r="A16" s="388">
        <f>+A15+1</f>
        <v>3</v>
      </c>
      <c r="B16" s="186"/>
      <c r="C16" s="826"/>
      <c r="D16" s="186"/>
      <c r="E16" s="826"/>
      <c r="F16" s="168"/>
      <c r="G16" s="826"/>
      <c r="H16" s="826"/>
      <c r="I16" s="826"/>
      <c r="J16" s="826"/>
      <c r="K16" s="826"/>
      <c r="L16" s="826"/>
      <c r="M16" s="826"/>
    </row>
    <row r="17" spans="1:25" ht="19.5">
      <c r="A17" s="388"/>
      <c r="B17" s="186"/>
      <c r="C17" s="393"/>
      <c r="D17" s="186"/>
      <c r="E17" s="405"/>
      <c r="F17" s="168"/>
      <c r="G17" s="405"/>
      <c r="H17" s="405"/>
      <c r="I17" s="405"/>
      <c r="J17" s="405"/>
      <c r="K17" s="405"/>
      <c r="L17" s="405"/>
      <c r="M17" s="405"/>
      <c r="O17" s="825"/>
    </row>
    <row r="18" spans="1:25" ht="19.5">
      <c r="A18" s="388">
        <f>+A16+1</f>
        <v>4</v>
      </c>
      <c r="B18" s="186"/>
      <c r="C18" s="403" t="s">
        <v>445</v>
      </c>
      <c r="D18" s="186"/>
      <c r="E18" s="826"/>
      <c r="F18" s="168"/>
      <c r="G18" s="826"/>
      <c r="H18" s="826"/>
      <c r="I18" s="826"/>
      <c r="J18" s="826"/>
      <c r="K18" s="826"/>
      <c r="L18" s="826"/>
      <c r="M18" s="826"/>
      <c r="O18"/>
    </row>
    <row r="19" spans="1:25" ht="18">
      <c r="A19" s="388">
        <f>+A18+1</f>
        <v>5</v>
      </c>
      <c r="B19" s="186"/>
      <c r="C19" s="826" t="s">
        <v>1287</v>
      </c>
      <c r="D19" s="186"/>
      <c r="E19" s="826">
        <f>+'[4]Inputs 2019'!$F$400</f>
        <v>38804640</v>
      </c>
      <c r="F19" s="402"/>
      <c r="G19" s="826">
        <f>+E19</f>
        <v>38804640</v>
      </c>
      <c r="H19" s="826"/>
      <c r="I19" s="826"/>
      <c r="J19" s="826"/>
      <c r="K19" s="826"/>
      <c r="L19" s="826"/>
      <c r="M19" s="826"/>
      <c r="O19"/>
      <c r="P19" s="38"/>
      <c r="Q19" s="38"/>
      <c r="R19" s="38"/>
      <c r="S19" s="38"/>
      <c r="T19" s="38"/>
      <c r="U19" s="38"/>
      <c r="V19" s="38"/>
      <c r="W19" s="38"/>
      <c r="X19" s="38"/>
      <c r="Y19" s="38"/>
    </row>
    <row r="20" spans="1:25" ht="19.5">
      <c r="A20" s="388">
        <f>+A19+1</f>
        <v>6</v>
      </c>
      <c r="B20" s="186"/>
      <c r="C20" s="826" t="s">
        <v>1292</v>
      </c>
      <c r="D20" s="186"/>
      <c r="E20" s="826">
        <f>+'[4]Inputs 2019'!$F$403</f>
        <v>1616860.0000000014</v>
      </c>
      <c r="F20" s="168"/>
      <c r="G20" s="826">
        <f>+E20</f>
        <v>1616860.0000000014</v>
      </c>
      <c r="H20" s="826"/>
      <c r="I20" s="826"/>
      <c r="J20" s="826"/>
      <c r="K20" s="826"/>
      <c r="L20" s="826"/>
      <c r="M20" s="826"/>
      <c r="O20"/>
      <c r="P20" s="38"/>
      <c r="Q20" s="38"/>
      <c r="R20" s="38"/>
      <c r="S20" s="38"/>
      <c r="T20" s="38"/>
      <c r="U20" s="38"/>
      <c r="V20" s="38"/>
      <c r="W20" s="38"/>
      <c r="X20" s="38"/>
      <c r="Y20" s="38"/>
    </row>
    <row r="21" spans="1:25" ht="18">
      <c r="A21" s="388">
        <f>+A20+1</f>
        <v>7</v>
      </c>
      <c r="B21" s="186"/>
      <c r="C21" s="826" t="s">
        <v>1286</v>
      </c>
      <c r="D21" s="186"/>
      <c r="E21" s="826">
        <v>0</v>
      </c>
      <c r="F21" s="402"/>
      <c r="G21" s="826">
        <f>+E21</f>
        <v>0</v>
      </c>
      <c r="H21" s="826"/>
      <c r="I21" s="826"/>
      <c r="J21" s="826"/>
      <c r="K21" s="826"/>
      <c r="L21" s="826"/>
      <c r="M21" s="826"/>
      <c r="O21"/>
      <c r="P21" s="38"/>
      <c r="Q21" s="38"/>
      <c r="R21" s="38"/>
      <c r="S21" s="38"/>
      <c r="T21" s="38"/>
      <c r="U21" s="38"/>
      <c r="V21" s="38"/>
      <c r="W21" s="38"/>
      <c r="X21" s="38"/>
      <c r="Y21" s="38"/>
    </row>
    <row r="22" spans="1:25" ht="19.5">
      <c r="A22" s="388">
        <f>+A21+1</f>
        <v>8</v>
      </c>
      <c r="B22" s="186"/>
      <c r="C22" s="826"/>
      <c r="D22" s="186"/>
      <c r="E22" s="826"/>
      <c r="F22" s="168"/>
      <c r="G22" s="826"/>
      <c r="H22" s="826"/>
      <c r="I22" s="826"/>
      <c r="J22" s="826"/>
      <c r="K22" s="826"/>
      <c r="L22" s="826"/>
      <c r="M22" s="826"/>
      <c r="O22"/>
      <c r="P22" s="38"/>
      <c r="Q22" s="38"/>
      <c r="R22" s="38"/>
      <c r="S22" s="38"/>
      <c r="T22" s="38"/>
      <c r="U22" s="38"/>
      <c r="V22" s="38"/>
      <c r="W22" s="38"/>
      <c r="X22" s="38"/>
      <c r="Y22" s="38"/>
    </row>
    <row r="23" spans="1:25" ht="19.5">
      <c r="A23" s="388">
        <f>+A22+1</f>
        <v>9</v>
      </c>
      <c r="B23" s="186"/>
      <c r="C23" s="826"/>
      <c r="D23" s="186"/>
      <c r="E23" s="826"/>
      <c r="F23" s="168"/>
      <c r="G23" s="826"/>
      <c r="H23" s="826"/>
      <c r="I23" s="826"/>
      <c r="J23" s="826"/>
      <c r="K23" s="826"/>
      <c r="L23" s="826"/>
      <c r="M23" s="826">
        <f>+E23</f>
        <v>0</v>
      </c>
      <c r="O23"/>
      <c r="P23" s="38"/>
      <c r="Q23" s="38"/>
      <c r="R23" s="38"/>
      <c r="S23" s="38"/>
      <c r="T23" s="38"/>
      <c r="U23" s="38"/>
      <c r="V23" s="38"/>
      <c r="W23" s="38"/>
      <c r="X23" s="38"/>
      <c r="Y23" s="38"/>
    </row>
    <row r="24" spans="1:25" ht="19.5">
      <c r="A24" s="388"/>
      <c r="B24" s="186"/>
      <c r="C24" s="393"/>
      <c r="D24" s="186"/>
      <c r="E24" s="405"/>
      <c r="F24" s="168"/>
      <c r="G24" s="405"/>
      <c r="H24" s="405"/>
      <c r="I24" s="405"/>
      <c r="J24" s="405"/>
      <c r="K24" s="405"/>
      <c r="L24" s="405"/>
      <c r="M24" s="405"/>
      <c r="O24"/>
      <c r="P24" s="38"/>
      <c r="Q24" s="38"/>
      <c r="R24" s="38"/>
      <c r="S24" s="38"/>
      <c r="T24" s="38"/>
      <c r="U24" s="38"/>
      <c r="V24" s="38"/>
      <c r="W24" s="38"/>
      <c r="X24" s="38"/>
      <c r="Y24" s="38"/>
    </row>
    <row r="25" spans="1:25" ht="19.5">
      <c r="A25" s="388">
        <f>+A23+1</f>
        <v>10</v>
      </c>
      <c r="B25" s="186"/>
      <c r="C25" s="403" t="s">
        <v>446</v>
      </c>
      <c r="D25" s="186"/>
      <c r="E25" s="405"/>
      <c r="F25" s="168"/>
      <c r="G25" s="405"/>
      <c r="H25" s="405"/>
      <c r="I25" s="405"/>
      <c r="J25" s="405"/>
      <c r="K25" s="405"/>
      <c r="L25" s="405"/>
      <c r="M25" s="405"/>
      <c r="O25" s="38"/>
      <c r="P25" s="38"/>
      <c r="Q25" s="38"/>
      <c r="R25" s="38"/>
      <c r="S25" s="38"/>
      <c r="T25" s="38"/>
      <c r="U25" s="38"/>
      <c r="V25" s="38"/>
      <c r="W25" s="38"/>
      <c r="X25" s="38"/>
      <c r="Y25" s="38"/>
    </row>
    <row r="26" spans="1:25" ht="19.5">
      <c r="A26" s="388">
        <f>+A25+1</f>
        <v>11</v>
      </c>
      <c r="B26" s="186"/>
      <c r="C26" s="826" t="s">
        <v>802</v>
      </c>
      <c r="D26" s="186"/>
      <c r="E26" s="826">
        <f>+'[4]Inputs 2019'!$F$412+'[4]Inputs 2019'!$F$413</f>
        <v>5783587.9264229909</v>
      </c>
      <c r="F26" s="168"/>
      <c r="G26" s="826"/>
      <c r="H26" s="826"/>
      <c r="I26" s="826">
        <f>+E26</f>
        <v>5783587.9264229909</v>
      </c>
      <c r="J26" s="826"/>
      <c r="K26" s="826"/>
      <c r="L26" s="826"/>
      <c r="M26" s="826"/>
      <c r="O26" s="38"/>
      <c r="P26" s="38"/>
      <c r="Q26" s="38"/>
      <c r="R26" s="38"/>
      <c r="S26" s="38"/>
      <c r="T26" s="38"/>
      <c r="U26" s="38"/>
      <c r="V26" s="38"/>
      <c r="W26" s="38"/>
      <c r="X26" s="38"/>
      <c r="Y26" s="38"/>
    </row>
    <row r="27" spans="1:25" ht="19.5">
      <c r="A27" s="388">
        <f>+A26+1</f>
        <v>12</v>
      </c>
      <c r="B27" s="186"/>
      <c r="C27" s="826" t="s">
        <v>803</v>
      </c>
      <c r="D27" s="186"/>
      <c r="E27" s="826">
        <f>+'[4]Inputs 2019'!$F$415+'[4]Inputs 2019'!$F$416</f>
        <v>30972.397806368001</v>
      </c>
      <c r="F27" s="168"/>
      <c r="G27" s="826"/>
      <c r="H27" s="826"/>
      <c r="I27" s="826">
        <f>+E27</f>
        <v>30972.397806368001</v>
      </c>
      <c r="J27" s="826"/>
      <c r="K27" s="826"/>
      <c r="L27" s="826"/>
      <c r="M27" s="826"/>
      <c r="O27" s="38"/>
      <c r="P27" s="38"/>
      <c r="Q27" s="38"/>
      <c r="R27" s="38"/>
      <c r="S27" s="38"/>
      <c r="T27" s="38"/>
      <c r="U27" s="38"/>
      <c r="V27" s="38"/>
      <c r="W27" s="38"/>
      <c r="X27" s="38"/>
      <c r="Y27" s="38"/>
    </row>
    <row r="28" spans="1:25" ht="19.5">
      <c r="A28" s="388">
        <f>+A27+1</f>
        <v>13</v>
      </c>
      <c r="B28" s="186"/>
      <c r="C28" s="826" t="s">
        <v>804</v>
      </c>
      <c r="D28" s="186"/>
      <c r="E28" s="826">
        <f>+'[4]Inputs 2019'!$F$418+'[4]Inputs 2019'!$F$419</f>
        <v>61014.093734030001</v>
      </c>
      <c r="F28" s="168"/>
      <c r="G28" s="826"/>
      <c r="H28" s="826"/>
      <c r="I28" s="826">
        <f>+E28</f>
        <v>61014.093734030001</v>
      </c>
      <c r="J28" s="826"/>
      <c r="K28" s="826"/>
      <c r="L28" s="826"/>
      <c r="M28" s="826"/>
      <c r="O28" s="38"/>
      <c r="P28" s="38"/>
      <c r="Q28" s="38"/>
      <c r="R28" s="38"/>
      <c r="S28" s="38"/>
      <c r="T28" s="38"/>
      <c r="U28" s="38"/>
      <c r="V28" s="38"/>
      <c r="W28" s="38"/>
      <c r="X28" s="38"/>
      <c r="Y28" s="38"/>
    </row>
    <row r="29" spans="1:25" ht="19.5">
      <c r="A29" s="388">
        <f>+A28+1</f>
        <v>14</v>
      </c>
      <c r="B29" s="186"/>
      <c r="C29" s="826"/>
      <c r="D29" s="186"/>
      <c r="E29" s="826"/>
      <c r="F29" s="168"/>
      <c r="G29" s="826"/>
      <c r="H29" s="826"/>
      <c r="I29" s="826"/>
      <c r="J29" s="826"/>
      <c r="K29" s="826"/>
      <c r="L29" s="826"/>
      <c r="M29" s="826"/>
      <c r="O29" s="38"/>
      <c r="P29" s="38"/>
      <c r="Q29" s="38"/>
      <c r="R29" s="38"/>
      <c r="S29" s="38"/>
      <c r="T29" s="38"/>
      <c r="U29" s="38"/>
      <c r="V29" s="38"/>
      <c r="W29" s="38"/>
      <c r="X29" s="38"/>
      <c r="Y29" s="38"/>
    </row>
    <row r="30" spans="1:25" ht="19.5">
      <c r="A30" s="388" t="s">
        <v>291</v>
      </c>
      <c r="B30" s="186"/>
      <c r="C30" s="168"/>
      <c r="D30" s="186"/>
      <c r="E30" s="405"/>
      <c r="F30" s="168"/>
      <c r="G30" s="405"/>
      <c r="H30" s="405"/>
      <c r="I30" s="405"/>
      <c r="J30" s="405"/>
      <c r="K30" s="405"/>
      <c r="L30" s="405"/>
      <c r="M30" s="405"/>
      <c r="O30" s="38"/>
      <c r="P30" s="38"/>
      <c r="Q30" s="38"/>
      <c r="R30" s="38"/>
      <c r="S30" s="38"/>
      <c r="T30" s="38"/>
      <c r="U30" s="38"/>
      <c r="V30" s="38"/>
      <c r="W30" s="38"/>
      <c r="X30" s="38"/>
      <c r="Y30" s="38"/>
    </row>
    <row r="31" spans="1:25" ht="19.5">
      <c r="A31" s="388">
        <f>+A29+1</f>
        <v>15</v>
      </c>
      <c r="B31" s="186"/>
      <c r="C31" s="403" t="s">
        <v>76</v>
      </c>
      <c r="D31" s="186"/>
      <c r="E31" s="405"/>
      <c r="F31" s="168"/>
      <c r="G31" s="405"/>
      <c r="H31" s="405"/>
      <c r="I31" s="405"/>
      <c r="J31" s="405"/>
      <c r="K31" s="405"/>
      <c r="L31" s="405"/>
      <c r="M31" s="405"/>
      <c r="O31" s="38"/>
      <c r="P31" s="38"/>
      <c r="Q31" s="38"/>
      <c r="R31" s="38"/>
      <c r="S31" s="38"/>
      <c r="T31" s="38"/>
      <c r="U31" s="38"/>
      <c r="V31" s="38"/>
      <c r="W31" s="38"/>
      <c r="X31" s="38"/>
      <c r="Y31" s="38"/>
    </row>
    <row r="32" spans="1:25" ht="19.5">
      <c r="A32" s="388">
        <f>A31+1</f>
        <v>16</v>
      </c>
      <c r="B32" s="186"/>
      <c r="C32" s="661"/>
      <c r="D32" s="186"/>
      <c r="E32" s="826"/>
      <c r="F32" s="168"/>
      <c r="G32" s="826"/>
      <c r="H32" s="826"/>
      <c r="I32" s="826"/>
      <c r="J32" s="826"/>
      <c r="K32" s="826"/>
      <c r="L32" s="826"/>
      <c r="M32" s="826">
        <f>+E32</f>
        <v>0</v>
      </c>
      <c r="O32" s="38"/>
      <c r="P32" s="38"/>
      <c r="Q32" s="38"/>
      <c r="R32" s="38"/>
      <c r="S32" s="38"/>
      <c r="T32" s="38"/>
      <c r="U32" s="38"/>
      <c r="V32" s="38"/>
      <c r="W32" s="38"/>
      <c r="X32" s="38"/>
      <c r="Y32" s="38"/>
    </row>
    <row r="33" spans="1:25" ht="19.5">
      <c r="A33" s="388">
        <f>A32+1</f>
        <v>17</v>
      </c>
      <c r="B33" s="186"/>
      <c r="C33" s="661"/>
      <c r="D33" s="186"/>
      <c r="E33" s="826"/>
      <c r="F33" s="168"/>
      <c r="G33" s="826"/>
      <c r="H33" s="826"/>
      <c r="I33" s="826"/>
      <c r="J33" s="826"/>
      <c r="K33" s="826"/>
      <c r="L33" s="826"/>
      <c r="M33" s="826"/>
      <c r="O33" s="38"/>
      <c r="P33" s="38"/>
      <c r="Q33" s="38"/>
      <c r="R33" s="38"/>
      <c r="S33" s="38"/>
      <c r="T33" s="38"/>
      <c r="U33" s="38"/>
      <c r="V33" s="38"/>
      <c r="W33" s="38"/>
      <c r="X33" s="38"/>
      <c r="Y33" s="38"/>
    </row>
    <row r="34" spans="1:25" ht="19.5">
      <c r="A34" s="388">
        <f>+A33+1</f>
        <v>18</v>
      </c>
      <c r="B34" s="186"/>
      <c r="C34" s="661"/>
      <c r="D34" s="186"/>
      <c r="E34" s="826"/>
      <c r="F34" s="168"/>
      <c r="G34" s="826"/>
      <c r="H34" s="826"/>
      <c r="I34" s="826"/>
      <c r="J34" s="826"/>
      <c r="K34" s="826"/>
      <c r="L34" s="826"/>
      <c r="M34" s="826"/>
      <c r="O34" s="38"/>
      <c r="P34" s="38"/>
      <c r="Q34" s="38"/>
      <c r="R34" s="38"/>
      <c r="S34" s="38"/>
      <c r="T34" s="38"/>
      <c r="U34" s="38"/>
      <c r="V34" s="38"/>
      <c r="W34" s="38"/>
      <c r="X34" s="38"/>
      <c r="Y34" s="38"/>
    </row>
    <row r="35" spans="1:25" ht="19.5">
      <c r="A35" s="388"/>
      <c r="B35" s="186"/>
      <c r="C35" s="168"/>
      <c r="D35" s="186"/>
      <c r="E35" s="405"/>
      <c r="F35" s="168"/>
      <c r="G35" s="405"/>
      <c r="H35" s="405"/>
      <c r="I35" s="405"/>
      <c r="J35" s="405"/>
      <c r="K35" s="405"/>
      <c r="L35" s="405"/>
      <c r="M35" s="405"/>
      <c r="O35" s="38"/>
      <c r="P35" s="38"/>
      <c r="Q35" s="38"/>
      <c r="R35" s="38"/>
      <c r="S35" s="38"/>
      <c r="T35" s="38"/>
      <c r="U35" s="38"/>
      <c r="V35" s="38"/>
      <c r="W35" s="38"/>
      <c r="X35" s="38"/>
      <c r="Y35" s="38"/>
    </row>
    <row r="36" spans="1:25" ht="19.5">
      <c r="A36" s="350">
        <f>+A34+1</f>
        <v>19</v>
      </c>
      <c r="B36" s="351"/>
      <c r="C36" s="403" t="s">
        <v>443</v>
      </c>
      <c r="D36" s="352"/>
      <c r="E36" s="405"/>
      <c r="F36" s="168"/>
      <c r="G36" s="405"/>
      <c r="H36" s="405"/>
      <c r="I36" s="405"/>
      <c r="J36" s="405"/>
      <c r="K36" s="405"/>
      <c r="L36" s="405"/>
      <c r="M36" s="405"/>
    </row>
    <row r="37" spans="1:25" ht="19.5">
      <c r="A37" s="350">
        <f t="shared" ref="A37:A46" si="0">A36+1</f>
        <v>20</v>
      </c>
      <c r="B37" s="351"/>
      <c r="C37" s="1264" t="s">
        <v>805</v>
      </c>
      <c r="D37" s="186"/>
      <c r="E37" s="826">
        <v>0</v>
      </c>
      <c r="F37" s="168"/>
      <c r="G37" s="826"/>
      <c r="H37" s="826"/>
      <c r="I37" s="826"/>
      <c r="J37" s="826"/>
      <c r="K37" s="826"/>
      <c r="L37" s="826"/>
      <c r="M37" s="826">
        <f>+E37</f>
        <v>0</v>
      </c>
    </row>
    <row r="38" spans="1:25" ht="19.5">
      <c r="A38" s="350">
        <f t="shared" si="0"/>
        <v>21</v>
      </c>
      <c r="B38" s="351"/>
      <c r="C38" s="1264" t="s">
        <v>1293</v>
      </c>
      <c r="D38" s="186"/>
      <c r="E38" s="826">
        <v>0</v>
      </c>
      <c r="F38" s="168"/>
      <c r="G38" s="826"/>
      <c r="H38" s="826"/>
      <c r="I38" s="826"/>
      <c r="J38" s="826"/>
      <c r="K38" s="826">
        <f t="shared" ref="K38:K43" si="1">+E38</f>
        <v>0</v>
      </c>
      <c r="L38" s="826"/>
      <c r="M38" s="826"/>
      <c r="O38"/>
    </row>
    <row r="39" spans="1:25" ht="19.5">
      <c r="A39" s="350">
        <f t="shared" si="0"/>
        <v>22</v>
      </c>
      <c r="B39" s="351"/>
      <c r="C39" s="1264" t="s">
        <v>1294</v>
      </c>
      <c r="D39" s="186"/>
      <c r="E39" s="826">
        <f>+'[4]Inputs 2019'!$F$444</f>
        <v>12000</v>
      </c>
      <c r="F39" s="168"/>
      <c r="G39" s="826"/>
      <c r="H39" s="826"/>
      <c r="I39" s="826"/>
      <c r="J39" s="826"/>
      <c r="K39" s="826">
        <f t="shared" si="1"/>
        <v>12000</v>
      </c>
      <c r="L39" s="826"/>
      <c r="M39" s="826"/>
      <c r="O39"/>
    </row>
    <row r="40" spans="1:25" ht="19.5">
      <c r="A40" s="350">
        <f t="shared" si="0"/>
        <v>23</v>
      </c>
      <c r="B40" s="351"/>
      <c r="C40" s="1264" t="s">
        <v>1295</v>
      </c>
      <c r="D40" s="186"/>
      <c r="E40" s="826">
        <f>+'[4]Inputs 2019'!$F$441</f>
        <v>182000</v>
      </c>
      <c r="F40" s="168"/>
      <c r="G40" s="826"/>
      <c r="H40" s="826"/>
      <c r="I40" s="826"/>
      <c r="J40" s="826"/>
      <c r="K40" s="826">
        <f t="shared" si="1"/>
        <v>182000</v>
      </c>
      <c r="L40" s="826"/>
      <c r="M40" s="826"/>
      <c r="O40"/>
    </row>
    <row r="41" spans="1:25" ht="19.5">
      <c r="A41" s="350">
        <f t="shared" si="0"/>
        <v>24</v>
      </c>
      <c r="B41" s="351"/>
      <c r="C41" s="1264" t="s">
        <v>1296</v>
      </c>
      <c r="D41" s="186"/>
      <c r="E41" s="826"/>
      <c r="F41" s="168"/>
      <c r="G41" s="826"/>
      <c r="H41" s="826"/>
      <c r="I41" s="826"/>
      <c r="J41" s="826"/>
      <c r="K41" s="826">
        <f t="shared" si="1"/>
        <v>0</v>
      </c>
      <c r="L41" s="826"/>
      <c r="M41" s="826"/>
    </row>
    <row r="42" spans="1:25" ht="19.5">
      <c r="A42" s="350">
        <f t="shared" si="0"/>
        <v>25</v>
      </c>
      <c r="B42" s="351"/>
      <c r="C42" s="1264" t="s">
        <v>1297</v>
      </c>
      <c r="D42" s="186"/>
      <c r="E42" s="826"/>
      <c r="F42" s="168"/>
      <c r="G42" s="826"/>
      <c r="H42" s="826"/>
      <c r="I42" s="826"/>
      <c r="J42" s="826"/>
      <c r="K42" s="826">
        <f t="shared" si="1"/>
        <v>0</v>
      </c>
      <c r="L42" s="826"/>
      <c r="M42" s="826"/>
    </row>
    <row r="43" spans="1:25" ht="19.5">
      <c r="A43" s="350">
        <f t="shared" si="0"/>
        <v>26</v>
      </c>
      <c r="B43" s="351"/>
      <c r="C43" s="1264" t="s">
        <v>1298</v>
      </c>
      <c r="D43" s="186"/>
      <c r="E43" s="826"/>
      <c r="F43" s="168"/>
      <c r="G43" s="826"/>
      <c r="H43" s="826"/>
      <c r="I43" s="826"/>
      <c r="J43" s="826"/>
      <c r="K43" s="826">
        <f t="shared" si="1"/>
        <v>0</v>
      </c>
      <c r="L43" s="826"/>
      <c r="M43" s="826"/>
    </row>
    <row r="44" spans="1:25" ht="19.5">
      <c r="A44" s="350">
        <f t="shared" si="0"/>
        <v>27</v>
      </c>
      <c r="B44" s="351"/>
      <c r="C44" s="1264" t="s">
        <v>1299</v>
      </c>
      <c r="D44" s="186"/>
      <c r="E44" s="826"/>
      <c r="F44" s="168"/>
      <c r="G44" s="826"/>
      <c r="H44" s="826"/>
      <c r="I44" s="826"/>
      <c r="J44" s="826"/>
      <c r="K44" s="826"/>
      <c r="L44" s="826"/>
      <c r="M44" s="826">
        <f>+E44</f>
        <v>0</v>
      </c>
      <c r="O44"/>
    </row>
    <row r="45" spans="1:25" ht="19.5">
      <c r="A45" s="350">
        <f t="shared" si="0"/>
        <v>28</v>
      </c>
      <c r="B45" s="186"/>
      <c r="C45" s="1264" t="s">
        <v>1300</v>
      </c>
      <c r="D45" s="186"/>
      <c r="E45" s="826"/>
      <c r="F45" s="168"/>
      <c r="G45" s="826"/>
      <c r="H45" s="826"/>
      <c r="I45" s="826"/>
      <c r="J45" s="826"/>
      <c r="K45" s="826"/>
      <c r="L45" s="826"/>
      <c r="M45" s="826">
        <f>+E45</f>
        <v>0</v>
      </c>
      <c r="O45"/>
    </row>
    <row r="46" spans="1:25" ht="19.5">
      <c r="A46" s="350">
        <f t="shared" si="0"/>
        <v>29</v>
      </c>
      <c r="B46" s="186"/>
      <c r="C46" s="1264" t="s">
        <v>1301</v>
      </c>
      <c r="D46" s="186"/>
      <c r="E46" s="826"/>
      <c r="F46" s="168"/>
      <c r="G46" s="826"/>
      <c r="H46" s="826"/>
      <c r="I46" s="826"/>
      <c r="J46" s="826"/>
      <c r="K46" s="826"/>
      <c r="L46" s="826"/>
      <c r="M46" s="826">
        <f>+E46</f>
        <v>0</v>
      </c>
      <c r="O46"/>
    </row>
    <row r="47" spans="1:25" ht="19.5">
      <c r="A47" s="388">
        <f>A46+1</f>
        <v>30</v>
      </c>
      <c r="B47" s="186"/>
      <c r="C47" s="1264" t="s">
        <v>1302</v>
      </c>
      <c r="D47" s="186"/>
      <c r="E47" s="826"/>
      <c r="F47" s="168"/>
      <c r="G47" s="826"/>
      <c r="H47" s="826"/>
      <c r="I47" s="826"/>
      <c r="J47" s="826"/>
      <c r="K47" s="826">
        <f>+E47</f>
        <v>0</v>
      </c>
      <c r="L47" s="826"/>
      <c r="M47" s="826"/>
      <c r="O47"/>
    </row>
    <row r="48" spans="1:25" ht="19.5">
      <c r="A48" s="388">
        <f>A47+1</f>
        <v>31</v>
      </c>
      <c r="B48" s="186"/>
      <c r="C48" s="1264" t="s">
        <v>1303</v>
      </c>
      <c r="D48" s="186"/>
      <c r="E48" s="826"/>
      <c r="F48" s="168"/>
      <c r="G48" s="826"/>
      <c r="H48" s="826"/>
      <c r="I48" s="826"/>
      <c r="J48" s="826"/>
      <c r="K48" s="826">
        <f>+E48</f>
        <v>0</v>
      </c>
      <c r="L48" s="826"/>
      <c r="M48" s="826"/>
      <c r="O48"/>
    </row>
    <row r="49" spans="1:15" ht="19.5">
      <c r="A49" s="388">
        <f>A48+1</f>
        <v>32</v>
      </c>
      <c r="B49" s="168"/>
      <c r="C49" s="826" t="s">
        <v>1305</v>
      </c>
      <c r="D49" s="186"/>
      <c r="E49" s="826">
        <v>0</v>
      </c>
      <c r="F49" s="168"/>
      <c r="G49" s="826"/>
      <c r="H49" s="826"/>
      <c r="I49" s="826"/>
      <c r="J49" s="826"/>
      <c r="K49" s="826">
        <f>+E49</f>
        <v>0</v>
      </c>
      <c r="L49" s="826"/>
      <c r="M49" s="826"/>
      <c r="O49"/>
    </row>
    <row r="50" spans="1:15" ht="19.5">
      <c r="A50" s="388">
        <f>+A49+1</f>
        <v>33</v>
      </c>
      <c r="B50" s="168"/>
      <c r="C50" s="826"/>
      <c r="D50" s="186"/>
      <c r="E50" s="826"/>
      <c r="F50" s="168"/>
      <c r="G50" s="826"/>
      <c r="H50" s="826"/>
      <c r="I50" s="826"/>
      <c r="J50" s="826"/>
      <c r="K50" s="826">
        <f>+E50</f>
        <v>0</v>
      </c>
      <c r="L50" s="826"/>
      <c r="M50" s="826"/>
      <c r="O50"/>
    </row>
    <row r="51" spans="1:15" ht="19.5">
      <c r="A51" s="388">
        <f>+A50+1</f>
        <v>34</v>
      </c>
      <c r="B51" s="168"/>
      <c r="C51" s="826"/>
      <c r="D51" s="186"/>
      <c r="E51" s="826"/>
      <c r="F51" s="168"/>
      <c r="G51" s="826"/>
      <c r="H51" s="826"/>
      <c r="I51" s="826"/>
      <c r="J51" s="826"/>
      <c r="K51" s="826"/>
      <c r="L51" s="826"/>
      <c r="M51" s="826">
        <f>+E51</f>
        <v>0</v>
      </c>
    </row>
    <row r="52" spans="1:15" ht="19.5">
      <c r="A52" s="38"/>
      <c r="B52" s="38"/>
      <c r="C52" s="38"/>
      <c r="D52" s="38"/>
      <c r="E52" s="38"/>
      <c r="F52" s="168"/>
      <c r="H52" s="407"/>
      <c r="I52" s="408"/>
      <c r="J52" s="408"/>
      <c r="K52" s="406"/>
      <c r="L52" s="176"/>
      <c r="M52" s="176"/>
    </row>
    <row r="53" spans="1:15" ht="20.25" thickBot="1">
      <c r="A53" s="350">
        <f>+A51+1</f>
        <v>35</v>
      </c>
      <c r="B53" s="38"/>
      <c r="C53" s="168" t="s">
        <v>442</v>
      </c>
      <c r="D53" s="38"/>
      <c r="E53" s="325">
        <f>SUM(E15:E51)</f>
        <v>46491074.417963393</v>
      </c>
      <c r="F53" s="168"/>
      <c r="G53" s="325">
        <f>SUM(G15:G51)</f>
        <v>40421500</v>
      </c>
      <c r="H53" s="407"/>
      <c r="I53" s="325">
        <f>SUM(I15:I51)</f>
        <v>5875574.4179633884</v>
      </c>
      <c r="J53" s="408"/>
      <c r="K53" s="325">
        <f>SUM(K15:K51)</f>
        <v>194000</v>
      </c>
      <c r="L53" s="176"/>
      <c r="M53" s="325">
        <f>SUM(M15:M51)</f>
        <v>0</v>
      </c>
    </row>
    <row r="54" spans="1:15" ht="30" customHeight="1" thickTop="1">
      <c r="A54" s="38"/>
      <c r="B54" s="38"/>
      <c r="C54" s="410" t="s">
        <v>164</v>
      </c>
      <c r="D54" s="378"/>
      <c r="E54" s="409"/>
      <c r="F54" s="410"/>
      <c r="G54" s="411"/>
      <c r="H54" s="411"/>
      <c r="J54" s="492"/>
      <c r="K54" s="493"/>
      <c r="L54" s="493"/>
      <c r="M54" s="412" t="str">
        <f>IF(SUM(G53:M53)=E53,"","Error - allocations don’t match total")</f>
        <v/>
      </c>
    </row>
    <row r="56" spans="1:15">
      <c r="C56" s="353" t="str">
        <f>"NOTE:  As a check, the difference between the total from Ln "&amp;A53&amp;" above and the total on FF1 p.263 line 41(i)"</f>
        <v>NOTE:  As a check, the difference between the total from Ln 35 above and the total on FF1 p.263 line 41(i)</v>
      </c>
    </row>
    <row r="57" spans="1:15">
      <c r="C57" s="353" t="s">
        <v>138</v>
      </c>
    </row>
    <row r="59" spans="1:15">
      <c r="I59" s="414"/>
    </row>
    <row r="187" spans="7:7" ht="13.5" thickBot="1"/>
    <row r="188" spans="7:7" ht="20.25" thickBot="1">
      <c r="G188" s="174" t="e">
        <f>IF(#REF!&lt;&gt;0,+#REF!/#REF!*#REF!,0)</f>
        <v>#REF!</v>
      </c>
    </row>
  </sheetData>
  <mergeCells count="6">
    <mergeCell ref="A6:M6"/>
    <mergeCell ref="A5:M5"/>
    <mergeCell ref="A1:M1"/>
    <mergeCell ref="A2:M2"/>
    <mergeCell ref="A3:M3"/>
    <mergeCell ref="A4:M4"/>
  </mergeCells>
  <phoneticPr fontId="56" type="noConversion"/>
  <printOptions horizontalCentered="1"/>
  <pageMargins left="0.75" right="0.75" top="1" bottom="0.25" header="0.65" footer="0.5"/>
  <pageSetup scale="46" orientation="portrait" r:id="rId1"/>
  <headerFooter alignWithMargins="0">
    <oddHeader xml:space="preserve">&amp;R&amp;12AEP - SPP Formula Rate
TCOS - WS L
Page: &amp;P of &amp;N&amp;16
</oddHeader>
  </headerFooter>
  <colBreaks count="1" manualBreakCount="1">
    <brk id="1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72"/>
  <sheetViews>
    <sheetView showWhiteSpace="0" topLeftCell="A7" zoomScale="80" zoomScaleNormal="80" zoomScaleSheetLayoutView="100" workbookViewId="0">
      <selection activeCell="O34" sqref="O34"/>
    </sheetView>
  </sheetViews>
  <sheetFormatPr defaultRowHeight="12.75"/>
  <cols>
    <col min="1" max="1" width="9.140625" style="42"/>
    <col min="2" max="2" width="46.85546875" style="56" customWidth="1"/>
    <col min="3" max="3" width="21.28515625" style="42" customWidth="1"/>
    <col min="4" max="4" width="14.85546875" style="42" customWidth="1"/>
    <col min="5" max="5" width="18" style="42" customWidth="1"/>
    <col min="6" max="10" width="9.140625" style="42"/>
    <col min="11" max="12" width="14.7109375" style="42" customWidth="1"/>
    <col min="13" max="16384" width="9.140625" style="42"/>
  </cols>
  <sheetData>
    <row r="1" spans="1:12" ht="15">
      <c r="A1" s="1556" t="str">
        <f>+'PSO TCOS'!F3</f>
        <v xml:space="preserve">AEP West SPP Member Operating Companies </v>
      </c>
      <c r="B1" s="1556"/>
      <c r="C1" s="1556"/>
      <c r="D1" s="1556"/>
      <c r="E1" s="1556"/>
    </row>
    <row r="2" spans="1:12" ht="15">
      <c r="A2" s="1553" t="str">
        <f>+'PSO WS A RB Support '!A2</f>
        <v xml:space="preserve">Actual / Projected 2019 Rate Year Cost of Service Formula Rate </v>
      </c>
      <c r="B2" s="1553"/>
      <c r="C2" s="1553"/>
      <c r="D2" s="1553"/>
      <c r="E2" s="1553"/>
    </row>
    <row r="3" spans="1:12" ht="15.75">
      <c r="A3" s="1607" t="str">
        <f>"Worksheet M"</f>
        <v>Worksheet M</v>
      </c>
      <c r="B3" s="1607"/>
      <c r="C3" s="1607"/>
      <c r="D3" s="1607"/>
      <c r="E3" s="1607"/>
    </row>
    <row r="4" spans="1:12" ht="15">
      <c r="A4" s="1604" t="str">
        <f>+'PSO TCOS'!F7</f>
        <v>PUBLIC SERVICE COMPANY OF OKLAHOMA</v>
      </c>
      <c r="B4" s="1604"/>
      <c r="C4" s="1604"/>
      <c r="D4" s="1604"/>
      <c r="E4" s="1604"/>
    </row>
    <row r="5" spans="1:12" ht="31.5" customHeight="1">
      <c r="A5" s="1605" t="str">
        <f>"Calculation of Capital Structure and Weighted Average Cost of Capital Based on Average of Balances At 12/31/"&amp;'PSO TCOS'!$N$1-1&amp;" and 12/31/"&amp;'PSO TCOS'!$N$1&amp;""</f>
        <v>Calculation of Capital Structure and Weighted Average Cost of Capital Based on Average of Balances At 12/31/2018 and 12/31/2019</v>
      </c>
      <c r="B5" s="1606"/>
      <c r="C5" s="1606"/>
      <c r="D5" s="1606"/>
      <c r="E5" s="1606"/>
    </row>
    <row r="6" spans="1:12" ht="9.75" customHeight="1">
      <c r="A6" s="137"/>
      <c r="B6" s="213"/>
      <c r="C6" s="213"/>
    </row>
    <row r="7" spans="1:12" ht="19.5" customHeight="1">
      <c r="A7" s="1043" t="s">
        <v>338</v>
      </c>
      <c r="B7" s="1043" t="s">
        <v>339</v>
      </c>
      <c r="C7" s="1043" t="s">
        <v>60</v>
      </c>
      <c r="D7" s="1043" t="s">
        <v>341</v>
      </c>
      <c r="E7" s="1043" t="s">
        <v>266</v>
      </c>
      <c r="F7" s="343"/>
    </row>
    <row r="8" spans="1:12" ht="18.75" customHeight="1">
      <c r="B8" s="344"/>
      <c r="C8" s="178" t="s">
        <v>27</v>
      </c>
      <c r="D8" s="178" t="s">
        <v>27</v>
      </c>
      <c r="E8" s="344"/>
      <c r="F8" s="344"/>
      <c r="G8" s="214"/>
    </row>
    <row r="9" spans="1:12" ht="12.75" customHeight="1">
      <c r="A9" s="44" t="s">
        <v>345</v>
      </c>
      <c r="B9" s="344"/>
      <c r="C9" s="909" t="str">
        <f>"12/31/"&amp;'PSO TCOS'!$N$1&amp;""</f>
        <v>12/31/2019</v>
      </c>
      <c r="D9" s="909" t="str">
        <f>"12/31/"&amp;'PSO TCOS'!$N$1-1&amp;""</f>
        <v>12/31/2018</v>
      </c>
      <c r="E9" s="193" t="s">
        <v>212</v>
      </c>
      <c r="F9" s="344"/>
    </row>
    <row r="10" spans="1:12" ht="12.75" customHeight="1">
      <c r="A10" s="215" t="s">
        <v>61</v>
      </c>
      <c r="C10" s="216"/>
      <c r="D10" s="216"/>
      <c r="E10" s="38"/>
      <c r="F10" s="8"/>
      <c r="G10" s="8"/>
      <c r="H10" s="8"/>
      <c r="I10" s="45"/>
    </row>
    <row r="11" spans="1:12" ht="12.75" customHeight="1">
      <c r="A11" s="155"/>
      <c r="B11" s="217"/>
      <c r="C11" s="216"/>
      <c r="D11" s="216"/>
      <c r="E11" s="38"/>
      <c r="F11" s="8"/>
      <c r="G11" s="8"/>
      <c r="H11" s="8"/>
      <c r="I11" s="45"/>
      <c r="K11"/>
      <c r="L11"/>
    </row>
    <row r="12" spans="1:12" ht="12.75" customHeight="1">
      <c r="A12" s="155">
        <v>1</v>
      </c>
      <c r="B12" s="305" t="s">
        <v>188</v>
      </c>
      <c r="C12" s="661">
        <f>+'[4]Inputs 2019'!E464</f>
        <v>1326353817.5835099</v>
      </c>
      <c r="D12" s="661">
        <f>+'[4]Inputs 2019'!F464</f>
        <v>1255743797.4630599</v>
      </c>
      <c r="E12" s="207">
        <f>AVERAGE(C12:D12)</f>
        <v>1291048807.5232849</v>
      </c>
      <c r="F12" s="8"/>
      <c r="G12" s="8"/>
      <c r="H12" s="8"/>
      <c r="K12"/>
      <c r="L12"/>
    </row>
    <row r="13" spans="1:12" ht="12.75" customHeight="1">
      <c r="A13" s="155">
        <f>+A12+1</f>
        <v>2</v>
      </c>
      <c r="B13" s="216" t="str">
        <f>"Less Preferred Stock from Ln "&amp;A67&amp;" below"</f>
        <v>Less Preferred Stock from Ln 43 below</v>
      </c>
      <c r="C13" s="824">
        <f>+C67</f>
        <v>0</v>
      </c>
      <c r="D13" s="824">
        <f>+D67</f>
        <v>0</v>
      </c>
      <c r="E13" s="207">
        <f>AVERAGE(C13:D13)</f>
        <v>0</v>
      </c>
      <c r="F13" s="8"/>
      <c r="G13" s="8"/>
      <c r="H13" s="8"/>
      <c r="K13"/>
      <c r="L13"/>
    </row>
    <row r="14" spans="1:12" ht="12.75" customHeight="1">
      <c r="A14" s="155">
        <f>+A13+1</f>
        <v>3</v>
      </c>
      <c r="B14" s="305" t="s">
        <v>186</v>
      </c>
      <c r="C14" s="661">
        <v>0</v>
      </c>
      <c r="D14" s="661">
        <v>0</v>
      </c>
      <c r="E14" s="207">
        <f>AVERAGE(C14:D14)</f>
        <v>0</v>
      </c>
      <c r="F14" s="8"/>
      <c r="G14" s="8"/>
      <c r="H14" s="8"/>
      <c r="K14"/>
      <c r="L14"/>
    </row>
    <row r="15" spans="1:12" ht="12.75" customHeight="1">
      <c r="A15" s="155">
        <f>+A14+1</f>
        <v>4</v>
      </c>
      <c r="B15" s="305" t="s">
        <v>187</v>
      </c>
      <c r="C15" s="661">
        <f>+'[4]Inputs 2019'!E467</f>
        <v>1325251.47437499</v>
      </c>
      <c r="D15" s="661">
        <f>+'[4]Inputs 2019'!F467</f>
        <v>2173053.4618749898</v>
      </c>
      <c r="E15" s="205">
        <f>AVERAGE(C15:D15)</f>
        <v>1749152.4681249899</v>
      </c>
      <c r="F15" s="8"/>
      <c r="G15" s="8"/>
      <c r="H15" s="8"/>
      <c r="K15"/>
      <c r="L15"/>
    </row>
    <row r="16" spans="1:12" ht="12.75" customHeight="1">
      <c r="A16" s="726">
        <f>+A15+1</f>
        <v>5</v>
      </c>
      <c r="B16" s="218" t="s">
        <v>204</v>
      </c>
      <c r="C16" s="660">
        <f>+C12-C13-C14-C15</f>
        <v>1325028566.1091349</v>
      </c>
      <c r="D16" s="660">
        <f>+D12-D13-D14-D15</f>
        <v>1253570744.0011849</v>
      </c>
      <c r="E16" s="219">
        <f>+E12-E13-E14-E15</f>
        <v>1289299655.0551598</v>
      </c>
      <c r="F16" s="7"/>
      <c r="G16" s="7"/>
      <c r="H16" s="7"/>
      <c r="K16"/>
      <c r="L16"/>
    </row>
    <row r="17" spans="1:12" ht="12.75" customHeight="1">
      <c r="C17" s="345"/>
      <c r="D17" s="55"/>
      <c r="K17"/>
      <c r="L17"/>
    </row>
    <row r="18" spans="1:12" ht="12.75" customHeight="1">
      <c r="A18" s="215" t="s">
        <v>199</v>
      </c>
      <c r="C18" s="345"/>
      <c r="D18" s="55"/>
      <c r="K18"/>
      <c r="L18"/>
    </row>
    <row r="19" spans="1:12" ht="12.75" customHeight="1">
      <c r="A19" s="149"/>
      <c r="B19" s="217"/>
      <c r="C19" s="41"/>
      <c r="D19" s="55"/>
      <c r="K19"/>
      <c r="L19"/>
    </row>
    <row r="20" spans="1:12" ht="12.75" customHeight="1">
      <c r="A20" s="155">
        <f>+A16+1</f>
        <v>6</v>
      </c>
      <c r="B20" s="1046" t="s">
        <v>1154</v>
      </c>
      <c r="C20" s="661">
        <v>0</v>
      </c>
      <c r="D20" s="661">
        <v>0</v>
      </c>
      <c r="E20" s="207">
        <f t="shared" ref="E20:E25" si="0">IF(C20=D20=0,0,AVERAGE(C20:D20))</f>
        <v>0</v>
      </c>
      <c r="K20"/>
      <c r="L20"/>
    </row>
    <row r="21" spans="1:12" ht="12.75" customHeight="1">
      <c r="A21" s="155">
        <f>+A20+1</f>
        <v>7</v>
      </c>
      <c r="B21" s="1046" t="s">
        <v>1155</v>
      </c>
      <c r="C21" s="661">
        <v>0</v>
      </c>
      <c r="D21" s="661">
        <v>0</v>
      </c>
      <c r="E21" s="207">
        <f t="shared" si="0"/>
        <v>0</v>
      </c>
      <c r="K21"/>
      <c r="L21"/>
    </row>
    <row r="22" spans="1:12" ht="12.75" customHeight="1">
      <c r="A22" s="155">
        <f>+A21+1</f>
        <v>8</v>
      </c>
      <c r="B22" s="1046" t="s">
        <v>1156</v>
      </c>
      <c r="C22" s="661">
        <v>0</v>
      </c>
      <c r="D22" s="661">
        <v>0</v>
      </c>
      <c r="E22" s="207">
        <f t="shared" si="0"/>
        <v>0</v>
      </c>
      <c r="K22"/>
      <c r="L22"/>
    </row>
    <row r="23" spans="1:12" ht="12.75" customHeight="1">
      <c r="A23" s="155">
        <f>+A22+1</f>
        <v>9</v>
      </c>
      <c r="B23" s="1046" t="s">
        <v>1157</v>
      </c>
      <c r="C23" s="661">
        <f>+'[4]Inputs 2019'!E475</f>
        <v>1391719866.4268701</v>
      </c>
      <c r="D23" s="661">
        <f>+'[4]Inputs 2019'!F475</f>
        <v>1292201442.26948</v>
      </c>
      <c r="E23" s="161">
        <f t="shared" si="0"/>
        <v>1341960654.348175</v>
      </c>
      <c r="K23"/>
      <c r="L23"/>
    </row>
    <row r="24" spans="1:12" s="1037" customFormat="1" ht="12.75" customHeight="1">
      <c r="A24" s="155">
        <f>+A23+1</f>
        <v>10</v>
      </c>
      <c r="B24" s="1046" t="s">
        <v>1167</v>
      </c>
      <c r="C24" s="1038">
        <v>0</v>
      </c>
      <c r="D24" s="661">
        <v>0</v>
      </c>
      <c r="E24" s="1032">
        <f t="shared" si="0"/>
        <v>0</v>
      </c>
      <c r="K24" s="1036"/>
      <c r="L24" s="1036"/>
    </row>
    <row r="25" spans="1:12" ht="12.75" customHeight="1">
      <c r="A25" s="726">
        <f>+A24+1</f>
        <v>11</v>
      </c>
      <c r="B25" s="1047" t="s">
        <v>1166</v>
      </c>
      <c r="C25" s="659">
        <f>+C20-C21+C22+C23+C24</f>
        <v>1391719866.4268701</v>
      </c>
      <c r="D25" s="659">
        <f>+D20-D21+D22+D23+D24</f>
        <v>1292201442.26948</v>
      </c>
      <c r="E25" s="1035">
        <f t="shared" si="0"/>
        <v>1341960654.348175</v>
      </c>
      <c r="K25"/>
      <c r="L25"/>
    </row>
    <row r="26" spans="1:12" ht="12.75" customHeight="1">
      <c r="A26" s="155"/>
      <c r="B26" s="346"/>
      <c r="D26" s="55"/>
      <c r="K26"/>
      <c r="L26"/>
    </row>
    <row r="27" spans="1:12" ht="12.75" customHeight="1">
      <c r="A27" s="155">
        <f>+A25+1</f>
        <v>12</v>
      </c>
      <c r="B27" s="220" t="s">
        <v>1162</v>
      </c>
      <c r="C27" s="171"/>
      <c r="D27" s="55"/>
      <c r="K27"/>
      <c r="L27"/>
    </row>
    <row r="28" spans="1:12" ht="12.75" customHeight="1">
      <c r="A28" s="155">
        <f t="shared" ref="A28:A36" si="1">+A27+1</f>
        <v>13</v>
      </c>
      <c r="B28" s="1040" t="s">
        <v>1101</v>
      </c>
      <c r="C28" s="171"/>
      <c r="D28" s="55"/>
      <c r="E28" s="661">
        <f>+'[4]Inputs 2019'!E484</f>
        <v>67618720.159450606</v>
      </c>
      <c r="H28" s="250"/>
      <c r="K28"/>
      <c r="L28"/>
    </row>
    <row r="29" spans="1:12" ht="12.75" customHeight="1">
      <c r="A29" s="155">
        <f t="shared" si="1"/>
        <v>14</v>
      </c>
      <c r="B29" s="346" t="str">
        <f>"Less: Financial Hedge Gain/Expense from Ln "&amp;A45&amp;" Included in Ln "&amp;A28&amp;""</f>
        <v>Less: Financial Hedge Gain/Expense from Ln 28 Included in Ln 13</v>
      </c>
      <c r="C29" s="171"/>
      <c r="D29" s="55"/>
      <c r="E29" s="825">
        <f>E45</f>
        <v>-1279141</v>
      </c>
      <c r="H29" s="250"/>
      <c r="K29"/>
      <c r="L29"/>
    </row>
    <row r="30" spans="1:12" ht="12.75" customHeight="1">
      <c r="A30" s="155">
        <f t="shared" si="1"/>
        <v>15</v>
      </c>
      <c r="B30" s="346" t="str">
        <f>"Plus:  Allowed Hedge Recovery from Ln "&amp;A49&amp;" below"</f>
        <v>Plus:  Allowed Hedge Recovery from Ln 32 below</v>
      </c>
      <c r="C30" s="171"/>
      <c r="D30" s="55"/>
      <c r="E30" s="825">
        <f>+E49</f>
        <v>-1279141</v>
      </c>
      <c r="H30" s="250"/>
      <c r="K30"/>
      <c r="L30"/>
    </row>
    <row r="31" spans="1:12" ht="12.75" customHeight="1">
      <c r="A31" s="155">
        <f t="shared" si="1"/>
        <v>16</v>
      </c>
      <c r="B31" s="1046" t="s">
        <v>1158</v>
      </c>
      <c r="C31" s="38"/>
      <c r="D31" s="38"/>
      <c r="E31" s="661">
        <f>+'[4]Inputs 2019'!E487</f>
        <v>1012128.9114611699</v>
      </c>
      <c r="H31" s="250"/>
    </row>
    <row r="32" spans="1:12" ht="12.75" customHeight="1">
      <c r="A32" s="155">
        <f t="shared" si="1"/>
        <v>17</v>
      </c>
      <c r="B32" s="1046" t="s">
        <v>1159</v>
      </c>
      <c r="C32" s="228"/>
      <c r="D32" s="55"/>
      <c r="E32" s="661">
        <f>+'[4]Inputs 2019'!E488</f>
        <v>807782.09538461501</v>
      </c>
      <c r="H32" s="250"/>
    </row>
    <row r="33" spans="1:6" ht="12.75" customHeight="1">
      <c r="A33" s="155">
        <f t="shared" si="1"/>
        <v>18</v>
      </c>
      <c r="B33" s="1046" t="s">
        <v>1160</v>
      </c>
      <c r="C33" s="228"/>
      <c r="D33" s="55"/>
      <c r="E33" s="661">
        <v>0</v>
      </c>
    </row>
    <row r="34" spans="1:6" ht="12.75" customHeight="1">
      <c r="A34" s="155">
        <f t="shared" si="1"/>
        <v>19</v>
      </c>
      <c r="B34" s="1046" t="s">
        <v>1161</v>
      </c>
      <c r="C34" s="228"/>
      <c r="D34" s="55"/>
      <c r="E34" s="661">
        <v>0</v>
      </c>
    </row>
    <row r="35" spans="1:6" s="1037" customFormat="1" ht="12.75" customHeight="1">
      <c r="A35" s="155">
        <f t="shared" si="1"/>
        <v>20</v>
      </c>
      <c r="B35" s="1046" t="s">
        <v>1168</v>
      </c>
      <c r="C35" s="1034"/>
      <c r="D35" s="1033"/>
      <c r="E35" s="1038">
        <v>0</v>
      </c>
    </row>
    <row r="36" spans="1:6" ht="12.75" customHeight="1">
      <c r="A36" s="726">
        <f t="shared" si="1"/>
        <v>21</v>
      </c>
      <c r="B36" s="1081" t="str">
        <f>"Total Interest Expense (Ln "&amp;A28&amp;" + Ln "&amp;A29&amp;" + Ln "&amp;A30&amp;" + Ln "&amp;A31&amp;" + Ln "&amp;A32&amp;" - Ln "&amp;A33&amp;" - Ln "&amp;A34&amp;" - Ln "&amp;A35&amp;")"</f>
        <v>Total Interest Expense (Ln 13 + Ln 14 + Ln 15 + Ln 16 + Ln 17 - Ln 18 - Ln 19 - Ln 20)</v>
      </c>
      <c r="C36" s="1031"/>
      <c r="D36" s="1030"/>
      <c r="E36" s="658">
        <f>+E28-E29+E30+E31+E32-E33-E34-E35</f>
        <v>69438631.166296393</v>
      </c>
    </row>
    <row r="37" spans="1:6" ht="12.75" customHeight="1" thickBot="1">
      <c r="A37" s="155"/>
      <c r="B37" s="346"/>
      <c r="C37" s="228"/>
      <c r="D37" s="55"/>
      <c r="E37" s="347"/>
    </row>
    <row r="38" spans="1:6" ht="12.75" customHeight="1" thickBot="1">
      <c r="A38" s="726">
        <f>+A36+1</f>
        <v>22</v>
      </c>
      <c r="B38" s="220" t="str">
        <f>"Average Cost of Debt (Ln "&amp;A36&amp;"/Ln "&amp;A25&amp;")"</f>
        <v>Average Cost of Debt (Ln 21/Ln 11)</v>
      </c>
      <c r="C38" s="221"/>
      <c r="D38" s="55"/>
      <c r="E38" s="222">
        <f>+E36/E25</f>
        <v>5.1744163244506244E-2</v>
      </c>
    </row>
    <row r="39" spans="1:6" ht="12.75" customHeight="1">
      <c r="A39" s="155"/>
      <c r="B39" s="346"/>
      <c r="C39" s="228"/>
      <c r="D39" s="55"/>
      <c r="E39" s="228"/>
    </row>
    <row r="40" spans="1:6" ht="12.75" customHeight="1">
      <c r="A40" s="155">
        <f>+A38+1</f>
        <v>23</v>
      </c>
      <c r="B40" s="346" t="s">
        <v>159</v>
      </c>
      <c r="C40" s="228"/>
      <c r="D40" s="55"/>
      <c r="E40" s="228"/>
    </row>
    <row r="41" spans="1:6" ht="12.75" customHeight="1">
      <c r="A41" s="155">
        <f t="shared" ref="A41:A49" si="2">+A40+1</f>
        <v>24</v>
      </c>
      <c r="B41" s="1260" t="s">
        <v>1290</v>
      </c>
      <c r="C41" s="228"/>
      <c r="D41" s="55"/>
      <c r="E41" s="1493">
        <v>-1279141</v>
      </c>
      <c r="F41" s="304"/>
    </row>
    <row r="42" spans="1:6" ht="12.75" customHeight="1">
      <c r="A42" s="155">
        <f t="shared" si="2"/>
        <v>25</v>
      </c>
      <c r="B42" s="1260" t="s">
        <v>1291</v>
      </c>
      <c r="C42" s="228"/>
      <c r="D42" s="55"/>
      <c r="E42" s="1493"/>
    </row>
    <row r="43" spans="1:6" ht="12.75" customHeight="1">
      <c r="A43" s="155">
        <f t="shared" si="2"/>
        <v>26</v>
      </c>
      <c r="B43" s="1039"/>
      <c r="C43" s="228"/>
      <c r="D43" s="55"/>
      <c r="E43" s="661"/>
    </row>
    <row r="44" spans="1:6" ht="12.75" customHeight="1">
      <c r="A44" s="155">
        <f t="shared" si="2"/>
        <v>27</v>
      </c>
      <c r="B44" s="1039"/>
      <c r="C44" s="228"/>
      <c r="D44" s="55"/>
      <c r="E44" s="661"/>
    </row>
    <row r="45" spans="1:6" ht="12.75" customHeight="1">
      <c r="A45" s="155">
        <f t="shared" si="2"/>
        <v>28</v>
      </c>
      <c r="B45" s="346" t="s">
        <v>200</v>
      </c>
      <c r="C45" s="228"/>
      <c r="D45" s="55"/>
      <c r="E45" s="657">
        <f>SUM(E41:E44)</f>
        <v>-1279141</v>
      </c>
    </row>
    <row r="46" spans="1:6" ht="12.75" customHeight="1">
      <c r="A46" s="155">
        <f t="shared" si="2"/>
        <v>29</v>
      </c>
      <c r="B46" s="346" t="str">
        <f>"Total Average Capital Balance  (TCOS, Ln "&amp;'PSO TCOS'!B234&amp;")"</f>
        <v>Total Average Capital Balance  (TCOS, Ln 142)</v>
      </c>
      <c r="C46" s="228"/>
      <c r="D46" s="55"/>
      <c r="E46" s="348">
        <f>+'PSO TCOS'!E234</f>
        <v>2631260309.4033346</v>
      </c>
    </row>
    <row r="47" spans="1:6" ht="12.75" customHeight="1">
      <c r="A47" s="155">
        <f t="shared" si="2"/>
        <v>30</v>
      </c>
      <c r="B47" s="346" t="s">
        <v>201</v>
      </c>
      <c r="C47" s="228"/>
      <c r="D47" s="55"/>
      <c r="E47" s="349">
        <f>0.0005</f>
        <v>5.0000000000000001E-4</v>
      </c>
    </row>
    <row r="48" spans="1:6" ht="12.75" customHeight="1" thickBot="1">
      <c r="A48" s="155">
        <f t="shared" si="2"/>
        <v>31</v>
      </c>
      <c r="B48" s="346" t="s">
        <v>202</v>
      </c>
      <c r="C48" s="228"/>
      <c r="D48" s="55"/>
      <c r="E48" s="162">
        <f>IF(E45&lt;0,ROUND(+E46*-E47,0),ROUND(+E46*E47,0))</f>
        <v>-1315630</v>
      </c>
    </row>
    <row r="49" spans="1:5" ht="12.75" customHeight="1" thickBot="1">
      <c r="A49" s="155">
        <f t="shared" si="2"/>
        <v>32</v>
      </c>
      <c r="B49" s="220" t="str">
        <f>"Recoverable Hedge Amortization (Lesser of Ln "&amp;A45&amp;" or "&amp;A48&amp;")"</f>
        <v>Recoverable Hedge Amortization (Lesser of Ln 28 or 31)</v>
      </c>
      <c r="C49" s="228"/>
      <c r="D49" s="55"/>
      <c r="E49" s="223">
        <f>+IF(ABS(E48)&lt;ABS(E45),E48,E45)</f>
        <v>-1279141</v>
      </c>
    </row>
    <row r="50" spans="1:5" ht="12.75" customHeight="1">
      <c r="A50" s="149"/>
      <c r="B50" s="331" t="str">
        <f>"(lesser of 5 basis point Cap or Actual (Gain)/Expense based on magnitude as indicated on Ln "&amp;A45&amp;" or Ln "&amp;A48&amp;")"</f>
        <v>(lesser of 5 basis point Cap or Actual (Gain)/Expense based on magnitude as indicated on Ln 28 or Ln 31)</v>
      </c>
      <c r="C50" s="228"/>
      <c r="D50" s="55"/>
      <c r="E50" s="228"/>
    </row>
    <row r="51" spans="1:5" ht="12.75" customHeight="1">
      <c r="A51" s="149"/>
      <c r="B51" s="346"/>
      <c r="C51" s="228"/>
      <c r="D51" s="55"/>
      <c r="E51" s="228"/>
    </row>
    <row r="52" spans="1:5" ht="12.75" customHeight="1">
      <c r="A52" s="224" t="s">
        <v>203</v>
      </c>
      <c r="C52" s="228"/>
      <c r="D52" s="55"/>
      <c r="E52" s="228"/>
    </row>
    <row r="53" spans="1:5" ht="12.75" customHeight="1">
      <c r="A53" s="149"/>
      <c r="B53" s="346"/>
      <c r="C53" s="228"/>
      <c r="D53" s="55"/>
      <c r="E53" s="228"/>
    </row>
    <row r="54" spans="1:5" ht="12.75" customHeight="1">
      <c r="A54" s="149"/>
      <c r="B54" s="188" t="s">
        <v>423</v>
      </c>
      <c r="C54" s="225"/>
      <c r="D54" s="55"/>
      <c r="E54" s="225" t="s">
        <v>212</v>
      </c>
    </row>
    <row r="55" spans="1:5" ht="12.75" customHeight="1">
      <c r="A55" s="155">
        <f>+A49+1</f>
        <v>33</v>
      </c>
      <c r="B55" s="55" t="s">
        <v>461</v>
      </c>
      <c r="C55" s="665"/>
      <c r="D55" s="665"/>
      <c r="E55" s="225"/>
    </row>
    <row r="56" spans="1:5" ht="12.75" customHeight="1">
      <c r="A56" s="155">
        <f>+A55+1</f>
        <v>34</v>
      </c>
      <c r="B56" s="55" t="s">
        <v>462</v>
      </c>
      <c r="C56" s="661"/>
      <c r="D56" s="661"/>
      <c r="E56" s="225"/>
    </row>
    <row r="57" spans="1:5" ht="12.75" customHeight="1">
      <c r="A57" s="155">
        <f>+A56+1</f>
        <v>35</v>
      </c>
      <c r="B57" s="55" t="s">
        <v>463</v>
      </c>
      <c r="C57" s="661"/>
      <c r="D57" s="661"/>
      <c r="E57" s="195"/>
    </row>
    <row r="58" spans="1:5" ht="12.75" customHeight="1">
      <c r="A58" s="155">
        <f>+A57+1</f>
        <v>36</v>
      </c>
      <c r="B58" s="55" t="str">
        <f>IF(ISBLANK(C55)," __% Series - "&amp;C56&amp;" - Monetary Value (Ln "&amp;A56&amp;" * Ln "&amp;A57&amp;")"," "&amp;C55*100&amp;"% Series - "&amp;C56&amp;" - Monetary Value (Ln "&amp;A56&amp;" * Ln "&amp;A57&amp;")")</f>
        <v xml:space="preserve"> __% Series -  - Monetary Value (Ln 34 * Ln 35)</v>
      </c>
      <c r="C58" s="171">
        <f>+C57*C56</f>
        <v>0</v>
      </c>
      <c r="D58" s="171">
        <f>+D57*D56</f>
        <v>0</v>
      </c>
      <c r="E58" s="207">
        <f>IF(C58=D58=0,0,AVERAGE(C58:D58))</f>
        <v>0</v>
      </c>
    </row>
    <row r="59" spans="1:5" ht="12.75" customHeight="1">
      <c r="A59" s="155">
        <f>+A58+1</f>
        <v>37</v>
      </c>
      <c r="B59" s="55" t="str">
        <f>IF(ISBLANK(C55)," __% Series - "&amp;C56&amp;" -  Dividend Amount (Ln "&amp;A55&amp;" * Ln "&amp;A58&amp;")"," "&amp;C55*100&amp;"% Series - "&amp;C56&amp;" -  Dividend Amount (Ln "&amp;A55&amp;" * Ln "&amp;A58&amp;")")</f>
        <v xml:space="preserve"> __% Series -  -  Dividend Amount (Ln 33 * Ln 36)</v>
      </c>
      <c r="C59" s="171">
        <f>+C58*C55</f>
        <v>0</v>
      </c>
      <c r="D59" s="171">
        <f>+D58*D55</f>
        <v>0</v>
      </c>
      <c r="E59" s="207">
        <f>IF(C59=D59=0,0,AVERAGE(C59:D59))</f>
        <v>0</v>
      </c>
    </row>
    <row r="60" spans="1:5" ht="12.75" customHeight="1">
      <c r="A60" s="155"/>
      <c r="B60" s="55"/>
      <c r="C60" s="171"/>
      <c r="D60" s="187"/>
      <c r="E60" s="195"/>
    </row>
    <row r="61" spans="1:5" ht="12.75" customHeight="1">
      <c r="A61" s="155">
        <f>+A59+1</f>
        <v>38</v>
      </c>
      <c r="B61" s="55" t="s">
        <v>461</v>
      </c>
      <c r="C61" s="661"/>
      <c r="D61" s="661"/>
      <c r="E61" s="207"/>
    </row>
    <row r="62" spans="1:5" ht="12.75" customHeight="1">
      <c r="A62" s="155">
        <f>+A61+1</f>
        <v>39</v>
      </c>
      <c r="B62" s="55" t="s">
        <v>462</v>
      </c>
      <c r="C62" s="661"/>
      <c r="D62" s="661"/>
      <c r="E62" s="207"/>
    </row>
    <row r="63" spans="1:5" ht="12.75" customHeight="1">
      <c r="A63" s="155">
        <f>+A62+1</f>
        <v>40</v>
      </c>
      <c r="B63" s="55" t="s">
        <v>463</v>
      </c>
      <c r="C63" s="661"/>
      <c r="D63" s="661"/>
      <c r="E63" s="195"/>
    </row>
    <row r="64" spans="1:5" ht="12.75" customHeight="1">
      <c r="A64" s="155">
        <f>+A63+1</f>
        <v>41</v>
      </c>
      <c r="B64" s="55" t="str">
        <f>IF(ISBLANK(C61)," __% Series - "&amp;C62&amp;" - Monetary Value (Ln "&amp;A62&amp;" * Ln "&amp;A63&amp;")"," "&amp;C61*100&amp;"% Series - "&amp;C62&amp;" - Monetary Value (Ln "&amp;A62&amp;" * Ln "&amp;A63&amp;")")</f>
        <v xml:space="preserve"> __% Series -  - Monetary Value (Ln 39 * Ln 40)</v>
      </c>
      <c r="C64" s="171">
        <f>+C63*C62</f>
        <v>0</v>
      </c>
      <c r="D64" s="171">
        <f>+D63*D62</f>
        <v>0</v>
      </c>
      <c r="E64" s="207">
        <f>IF(C64=D64=0,0,AVERAGE(C64:D64))</f>
        <v>0</v>
      </c>
    </row>
    <row r="65" spans="1:5" ht="12.75" customHeight="1">
      <c r="A65" s="155">
        <f>+A64+1</f>
        <v>42</v>
      </c>
      <c r="B65" s="55" t="str">
        <f>IF(ISBLANK(C61)," __% Series - "&amp;C62&amp;" -  Dividend Amount (Ln "&amp;A61&amp;" * Ln "&amp;A64&amp;")"," "&amp;C61*100&amp;"% Series - "&amp;C62&amp;" -  Dividend Amount (Ln "&amp;A61&amp;" * Ln "&amp;A64&amp;")")</f>
        <v xml:space="preserve"> __% Series -  -  Dividend Amount (Ln 38 * Ln 41)</v>
      </c>
      <c r="C65" s="171">
        <f>+C64*C61</f>
        <v>0</v>
      </c>
      <c r="D65" s="171">
        <f>+D64*D61</f>
        <v>0</v>
      </c>
      <c r="E65" s="207">
        <f>IF(C65=D65=0,0,AVERAGE(C65:D65))</f>
        <v>0</v>
      </c>
    </row>
    <row r="66" spans="1:5" ht="12.75" customHeight="1">
      <c r="A66" s="155"/>
      <c r="B66" s="55"/>
      <c r="C66" s="171"/>
      <c r="D66" s="171"/>
      <c r="E66" s="207"/>
    </row>
    <row r="67" spans="1:5" ht="12.75" customHeight="1">
      <c r="A67" s="155">
        <f>+A65+1</f>
        <v>43</v>
      </c>
      <c r="B67" s="217" t="str">
        <f>"Balance of Preferred Stock (Lns "&amp;A58&amp;", "&amp;A64&amp;")"</f>
        <v>Balance of Preferred Stock (Lns 36, 41)</v>
      </c>
      <c r="C67" s="171">
        <f>+C58+C64</f>
        <v>0</v>
      </c>
      <c r="D67" s="171">
        <f>+D58+D64</f>
        <v>0</v>
      </c>
      <c r="E67" s="226">
        <f>+E58+E64</f>
        <v>0</v>
      </c>
    </row>
    <row r="68" spans="1:5" ht="12.75" customHeight="1" thickBot="1">
      <c r="A68" s="155">
        <f>+A67+1</f>
        <v>44</v>
      </c>
      <c r="B68" s="217" t="str">
        <f>"Dividends on Preferred Stock (Lns "&amp;A59&amp;", "&amp;A65&amp;")"</f>
        <v>Dividends on Preferred Stock (Lns 37, 42)</v>
      </c>
      <c r="C68" s="196">
        <f>+C65+C59</f>
        <v>0</v>
      </c>
      <c r="D68" s="196">
        <f>+D65+D59</f>
        <v>0</v>
      </c>
      <c r="E68" s="227">
        <f>+E65+E59</f>
        <v>0</v>
      </c>
    </row>
    <row r="69" spans="1:5" ht="12.75" customHeight="1" thickBot="1">
      <c r="A69" s="155">
        <f>+A68+1</f>
        <v>45</v>
      </c>
      <c r="B69" s="62" t="str">
        <f>"Average Cost of Preferred Stock (Ln "&amp;A68&amp;"/"&amp;A67&amp;")"</f>
        <v>Average Cost of Preferred Stock (Ln 44/43)</v>
      </c>
      <c r="C69" s="228">
        <f>IF(C67=0,0,C68/C67)</f>
        <v>0</v>
      </c>
      <c r="D69" s="228">
        <f>IF(D67=0,0,D68/D67)</f>
        <v>0</v>
      </c>
      <c r="E69" s="222">
        <f>IF(E68=0,0,ROUND(E68/E67,10))</f>
        <v>0</v>
      </c>
    </row>
    <row r="72" spans="1:5">
      <c r="D72" s="250"/>
    </row>
  </sheetData>
  <mergeCells count="5">
    <mergeCell ref="A5:E5"/>
    <mergeCell ref="A1:E1"/>
    <mergeCell ref="A2:E2"/>
    <mergeCell ref="A4:E4"/>
    <mergeCell ref="A3:E3"/>
  </mergeCells>
  <phoneticPr fontId="0" type="noConversion"/>
  <printOptions horizontalCentered="1"/>
  <pageMargins left="0.25" right="0.25" top="1" bottom="0.25" header="0.65" footer="0.5"/>
  <pageSetup scale="77" orientation="portrait" r:id="rId1"/>
  <headerFooter alignWithMargins="0">
    <oddHeader xml:space="preserve">&amp;R&amp;12AEP - SPP Formula Rate
TCOS - WS M
Page: &amp;P of &amp;N&amp;16
</oddHeader>
    <oddFooter xml:space="preserve">&amp;R &amp;C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U712"/>
  <sheetViews>
    <sheetView topLeftCell="A10" zoomScale="70" zoomScaleNormal="70" zoomScaleSheetLayoutView="75" zoomScalePageLayoutView="70" workbookViewId="0">
      <selection activeCell="O34" sqref="O34"/>
    </sheetView>
  </sheetViews>
  <sheetFormatPr defaultColWidth="11.42578125" defaultRowHeight="15"/>
  <cols>
    <col min="1" max="1" width="4.7109375" style="15" customWidth="1"/>
    <col min="2" max="2" width="7.85546875" style="3" customWidth="1"/>
    <col min="3" max="3" width="1.85546875" style="15" customWidth="1"/>
    <col min="4" max="4" width="63.28515625" style="15" customWidth="1"/>
    <col min="5" max="5" width="37.28515625" style="15" customWidth="1"/>
    <col min="6" max="6" width="26.140625" style="15" customWidth="1"/>
    <col min="7" max="7" width="20.7109375" style="15" customWidth="1"/>
    <col min="8" max="8" width="18.85546875" style="15" customWidth="1"/>
    <col min="9" max="9" width="9.85546875" style="15" customWidth="1"/>
    <col min="10" max="10" width="21.85546875" style="15" bestFit="1" customWidth="1"/>
    <col min="11" max="11" width="4.7109375" style="15" customWidth="1"/>
    <col min="12" max="12" width="21.140625" style="15" customWidth="1"/>
    <col min="13" max="13" width="19.42578125" style="15" customWidth="1"/>
    <col min="14" max="14" width="12.85546875" style="15" customWidth="1"/>
    <col min="15" max="15" width="3.140625" style="15" customWidth="1"/>
    <col min="16" max="16" width="21.85546875" style="15" customWidth="1"/>
    <col min="17" max="17" width="11.42578125" style="15" customWidth="1"/>
    <col min="18" max="18" width="20.5703125" style="15" bestFit="1" customWidth="1"/>
    <col min="19" max="16384" width="11.42578125" style="15"/>
  </cols>
  <sheetData>
    <row r="1" spans="2:16" ht="15.75">
      <c r="B1" s="37"/>
      <c r="C1" s="5"/>
      <c r="D1" s="40"/>
      <c r="E1" s="463"/>
      <c r="F1" s="463"/>
      <c r="G1" s="464"/>
      <c r="H1" s="5"/>
      <c r="I1" s="4"/>
      <c r="J1" s="4"/>
      <c r="K1" s="4"/>
      <c r="L1" s="5"/>
      <c r="M1" s="5"/>
      <c r="N1" s="1262">
        <v>2019</v>
      </c>
      <c r="P1" s="15" t="s">
        <v>471</v>
      </c>
    </row>
    <row r="2" spans="2:16">
      <c r="B2" s="37"/>
      <c r="C2" s="5"/>
      <c r="D2" s="5"/>
      <c r="E2" s="5"/>
      <c r="F2" s="5"/>
      <c r="G2" s="5"/>
      <c r="H2" s="5"/>
      <c r="I2" s="5"/>
      <c r="J2" s="5"/>
      <c r="K2" s="5"/>
      <c r="L2" s="5"/>
      <c r="M2" s="5"/>
      <c r="N2" s="1261"/>
    </row>
    <row r="3" spans="2:16">
      <c r="B3" s="37"/>
      <c r="C3" s="5"/>
      <c r="D3" s="14"/>
      <c r="E3" s="14"/>
      <c r="F3" s="191" t="s">
        <v>1121</v>
      </c>
      <c r="G3" s="51"/>
      <c r="H3" s="51"/>
      <c r="J3" s="14"/>
      <c r="K3" s="7"/>
      <c r="L3" s="7"/>
      <c r="M3" s="251"/>
    </row>
    <row r="4" spans="2:16">
      <c r="B4" s="37"/>
      <c r="C4" s="5"/>
      <c r="D4" s="14"/>
      <c r="E4" s="8"/>
      <c r="F4" s="191" t="s">
        <v>64</v>
      </c>
      <c r="G4" s="51"/>
      <c r="H4" s="51"/>
      <c r="J4" s="8"/>
      <c r="K4" s="7"/>
      <c r="L4" s="7"/>
      <c r="M4" s="251"/>
    </row>
    <row r="5" spans="2:16">
      <c r="B5" s="37"/>
      <c r="C5" s="5"/>
      <c r="D5" s="7"/>
      <c r="E5" s="7"/>
      <c r="F5" s="132" t="str">
        <f>"Utilizing Actual / Projected Cost Data for the "&amp;N1&amp;" Rate Year"</f>
        <v>Utilizing Actual / Projected Cost Data for the 2019 Rate Year</v>
      </c>
      <c r="G5" s="51"/>
      <c r="H5" s="51"/>
      <c r="J5" s="7"/>
      <c r="K5" s="7"/>
      <c r="L5" s="7"/>
      <c r="M5" s="251"/>
    </row>
    <row r="6" spans="2:16">
      <c r="B6" s="35"/>
      <c r="C6" s="30"/>
      <c r="D6" s="7"/>
      <c r="H6" s="379"/>
      <c r="I6" s="379"/>
      <c r="J6" s="379"/>
      <c r="K6" s="379"/>
      <c r="L6" s="7"/>
      <c r="M6" s="7"/>
    </row>
    <row r="7" spans="2:16" ht="15.75">
      <c r="B7" s="35"/>
      <c r="C7" s="30"/>
      <c r="D7" s="38"/>
      <c r="E7" s="7"/>
      <c r="F7" s="369" t="s">
        <v>625</v>
      </c>
      <c r="G7" s="190"/>
      <c r="H7" s="7"/>
      <c r="I7" s="7"/>
      <c r="J7" s="7"/>
      <c r="K7" s="7"/>
      <c r="L7" s="38"/>
      <c r="M7" s="38"/>
      <c r="N7" s="38"/>
    </row>
    <row r="8" spans="2:16">
      <c r="B8" s="35"/>
      <c r="C8" s="30"/>
      <c r="D8" s="7"/>
      <c r="E8" s="7"/>
      <c r="F8" s="1082"/>
      <c r="G8" s="190"/>
      <c r="H8" s="7"/>
      <c r="I8" s="7"/>
      <c r="J8" s="7"/>
      <c r="K8" s="7"/>
      <c r="L8" s="38"/>
      <c r="M8" s="38"/>
      <c r="N8" s="38"/>
    </row>
    <row r="9" spans="2:16">
      <c r="B9" s="35" t="s">
        <v>345</v>
      </c>
      <c r="C9" s="30"/>
      <c r="D9" s="7"/>
      <c r="E9" s="7"/>
      <c r="F9" s="7"/>
      <c r="G9" s="190"/>
      <c r="H9" s="7"/>
      <c r="I9" s="7"/>
      <c r="J9" s="7"/>
      <c r="K9" s="7"/>
      <c r="L9" s="30" t="s">
        <v>292</v>
      </c>
      <c r="M9" s="38"/>
      <c r="N9" s="38"/>
    </row>
    <row r="10" spans="2:16" ht="15.75" thickBot="1">
      <c r="B10" s="381" t="s">
        <v>294</v>
      </c>
      <c r="C10" s="25"/>
      <c r="D10" s="7"/>
      <c r="E10" s="25"/>
      <c r="F10" s="7"/>
      <c r="G10" s="7"/>
      <c r="H10" s="7"/>
      <c r="I10" s="7"/>
      <c r="J10" s="7"/>
      <c r="K10" s="7"/>
      <c r="L10" s="102" t="s">
        <v>346</v>
      </c>
      <c r="M10" s="38"/>
      <c r="N10" s="38"/>
    </row>
    <row r="11" spans="2:16">
      <c r="B11" s="35">
        <v>1</v>
      </c>
      <c r="C11" s="30"/>
      <c r="D11" s="169" t="s">
        <v>288</v>
      </c>
      <c r="E11" s="7" t="str">
        <f>"(ln "&amp;B189&amp;")"</f>
        <v>(ln 115)</v>
      </c>
      <c r="F11" s="7"/>
      <c r="G11" s="53"/>
      <c r="H11" s="101"/>
      <c r="I11" s="7"/>
      <c r="J11" s="7"/>
      <c r="K11" s="7"/>
      <c r="L11" s="382">
        <f>+L189</f>
        <v>179086935.07937288</v>
      </c>
      <c r="M11" s="38"/>
      <c r="N11" s="38"/>
    </row>
    <row r="12" spans="2:16" ht="15.75" thickBot="1">
      <c r="B12" s="35"/>
      <c r="C12" s="30"/>
      <c r="E12" s="134"/>
      <c r="F12" s="8"/>
      <c r="G12" s="102" t="s">
        <v>295</v>
      </c>
      <c r="H12" s="8"/>
      <c r="I12" s="466" t="s">
        <v>296</v>
      </c>
      <c r="J12" s="466"/>
      <c r="K12" s="7"/>
      <c r="L12" s="53"/>
      <c r="M12" s="38"/>
      <c r="N12" s="38"/>
    </row>
    <row r="13" spans="2:16">
      <c r="B13" s="35">
        <f>+B11+1</f>
        <v>2</v>
      </c>
      <c r="C13" s="30"/>
      <c r="D13" s="467" t="s">
        <v>344</v>
      </c>
      <c r="E13" s="134" t="s">
        <v>1095</v>
      </c>
      <c r="F13" s="8"/>
      <c r="G13" s="49">
        <f>+'SWEPCO WS H Rev Credits'!M51</f>
        <v>7016937.7016000003</v>
      </c>
      <c r="H13" s="8"/>
      <c r="I13" s="11" t="s">
        <v>306</v>
      </c>
      <c r="J13" s="12">
        <v>1</v>
      </c>
      <c r="K13" s="8"/>
      <c r="L13" s="902">
        <f>+J13*G13</f>
        <v>7016937.7016000003</v>
      </c>
      <c r="M13" s="38"/>
      <c r="N13" s="38"/>
    </row>
    <row r="14" spans="2:16">
      <c r="B14" s="35"/>
      <c r="C14" s="30"/>
      <c r="D14" s="467"/>
      <c r="E14" s="134"/>
      <c r="F14" s="8"/>
      <c r="G14" s="49"/>
      <c r="H14" s="8"/>
      <c r="I14" s="11"/>
      <c r="J14" s="12"/>
      <c r="K14" s="8"/>
      <c r="L14" s="902"/>
      <c r="M14" s="38"/>
      <c r="N14" s="38"/>
    </row>
    <row r="15" spans="2:16">
      <c r="B15" s="35">
        <f>+B13+1</f>
        <v>3</v>
      </c>
      <c r="C15" s="30"/>
      <c r="D15" s="169" t="s">
        <v>584</v>
      </c>
      <c r="E15" s="134" t="s">
        <v>1124</v>
      </c>
      <c r="F15" s="8"/>
      <c r="G15" s="901"/>
      <c r="H15" s="8"/>
      <c r="I15" s="11"/>
      <c r="J15" s="12"/>
      <c r="K15" s="7"/>
      <c r="L15" s="901">
        <f>+'SWEPCO WS B - Facility credits'!D8</f>
        <v>0</v>
      </c>
      <c r="M15" s="38"/>
      <c r="N15" s="38"/>
    </row>
    <row r="16" spans="2:16">
      <c r="B16" s="35"/>
      <c r="C16" s="30"/>
      <c r="E16" s="134"/>
      <c r="F16" s="8"/>
      <c r="G16" s="25"/>
      <c r="H16" s="8"/>
      <c r="I16" s="716"/>
      <c r="J16" s="716"/>
      <c r="K16" s="7"/>
      <c r="L16" s="53"/>
      <c r="M16" s="38"/>
      <c r="N16" s="38"/>
    </row>
    <row r="17" spans="2:14" ht="15.75" thickBot="1">
      <c r="B17" s="35">
        <f>+B15+1</f>
        <v>4</v>
      </c>
      <c r="C17" s="30"/>
      <c r="D17" s="338" t="s">
        <v>46</v>
      </c>
      <c r="E17" s="134" t="str">
        <f>"(ln "&amp;B11&amp;" less ln "&amp;B13&amp;" plus ln " &amp;B15&amp;")"</f>
        <v>(ln 1 less ln 2 plus ln 3)</v>
      </c>
      <c r="F17" s="7"/>
      <c r="H17" s="8"/>
      <c r="I17" s="11"/>
      <c r="J17" s="8"/>
      <c r="K17" s="8"/>
      <c r="L17" s="270">
        <f>+L11-L13+L15</f>
        <v>172069997.37777287</v>
      </c>
      <c r="M17" s="38"/>
      <c r="N17" s="38"/>
    </row>
    <row r="18" spans="2:14" ht="15.75" thickTop="1">
      <c r="B18" s="35"/>
      <c r="C18" s="30"/>
      <c r="D18" s="467"/>
      <c r="E18" s="134"/>
      <c r="F18" s="7"/>
      <c r="H18" s="8"/>
      <c r="I18" s="11"/>
      <c r="J18" s="8"/>
      <c r="K18" s="8"/>
      <c r="L18" s="135"/>
      <c r="M18" s="38"/>
      <c r="N18" s="38"/>
    </row>
    <row r="19" spans="2:14" ht="15" customHeight="1">
      <c r="B19" s="1538" t="str">
        <f>"MEMO:  The Carrying Charge Calculations on lines "&amp;B25&amp;" to "&amp;B32&amp;" below are used in calculating project revenue requirements billed through SPP Schedule 11.  The total non-incentive revenue requirement for these projects shown on line "&amp;B22&amp;" is included in the total on line "&amp;B17&amp;"."</f>
        <v>MEMO:  The Carrying Charge Calculations on lines 7 to 12 below are used in calculating project revenue requirements billed through SPP Schedule 11.  The total non-incentive revenue requirement for these projects shown on line 5 is included in the total on line 4.</v>
      </c>
      <c r="C19" s="1538"/>
      <c r="D19" s="1538"/>
      <c r="E19" s="1538"/>
      <c r="F19" s="1538"/>
      <c r="G19" s="1538"/>
      <c r="H19" s="1538"/>
      <c r="I19" s="1538"/>
      <c r="J19" s="38"/>
      <c r="M19" s="38"/>
      <c r="N19" s="38"/>
    </row>
    <row r="20" spans="2:14" ht="18.75" customHeight="1">
      <c r="B20" s="1538"/>
      <c r="C20" s="1538"/>
      <c r="D20" s="1538"/>
      <c r="E20" s="1538"/>
      <c r="F20" s="1538"/>
      <c r="G20" s="1538"/>
      <c r="H20" s="1538"/>
      <c r="I20" s="1538"/>
      <c r="J20" s="38"/>
      <c r="K20" s="38"/>
      <c r="L20" s="38"/>
      <c r="M20" s="38"/>
      <c r="N20" s="38"/>
    </row>
    <row r="21" spans="2:14" ht="15" customHeight="1">
      <c r="B21" s="339"/>
      <c r="C21" s="339"/>
      <c r="D21" s="339"/>
      <c r="E21" s="339"/>
      <c r="F21" s="339"/>
      <c r="G21" s="339"/>
      <c r="H21" s="339"/>
      <c r="I21" s="339"/>
      <c r="M21" s="38"/>
      <c r="N21" s="38"/>
    </row>
    <row r="22" spans="2:14">
      <c r="B22" s="35">
        <f>+B17+1</f>
        <v>5</v>
      </c>
      <c r="C22" s="30"/>
      <c r="D22" s="1547" t="s">
        <v>1125</v>
      </c>
      <c r="E22" s="1548"/>
      <c r="F22" s="8"/>
      <c r="G22" s="45">
        <f>+'SWEPCO WS F BPU ATRR'!L18</f>
        <v>79371230.720164105</v>
      </c>
      <c r="H22" s="8"/>
      <c r="I22" s="11" t="s">
        <v>306</v>
      </c>
      <c r="J22" s="12">
        <v>1</v>
      </c>
      <c r="K22" s="7"/>
      <c r="L22" s="135">
        <f>+J22*G22</f>
        <v>79371230.720164105</v>
      </c>
      <c r="M22" s="38"/>
      <c r="N22" s="38"/>
    </row>
    <row r="23" spans="2:14">
      <c r="B23" s="35"/>
      <c r="C23" s="30"/>
      <c r="D23" s="1548"/>
      <c r="E23" s="1548"/>
      <c r="F23" s="8"/>
      <c r="G23" s="45"/>
      <c r="H23" s="8"/>
      <c r="I23" s="8"/>
      <c r="J23" s="12"/>
      <c r="K23" s="7"/>
      <c r="L23" s="135"/>
      <c r="M23" s="38"/>
      <c r="N23" s="38"/>
    </row>
    <row r="24" spans="2:14">
      <c r="B24" s="35">
        <f>+B22+1</f>
        <v>6</v>
      </c>
      <c r="C24" s="30"/>
      <c r="D24" s="467" t="s">
        <v>47</v>
      </c>
      <c r="E24" s="134"/>
      <c r="F24" s="7"/>
      <c r="G24" s="1083"/>
      <c r="H24" s="7"/>
      <c r="I24" s="5"/>
      <c r="J24" s="7"/>
      <c r="K24" s="7"/>
      <c r="M24" s="38"/>
      <c r="N24" s="38"/>
    </row>
    <row r="25" spans="2:14">
      <c r="B25" s="35">
        <f>B24+1</f>
        <v>7</v>
      </c>
      <c r="C25" s="30"/>
      <c r="D25" s="14" t="s">
        <v>417</v>
      </c>
      <c r="E25" s="7" t="str">
        <f>"(ln "&amp;B11&amp;"/ ln "&amp;B78&amp;" x 100%)"</f>
        <v>(ln 1/ ln 37 x 100%)</v>
      </c>
      <c r="F25" s="30"/>
      <c r="G25" s="30"/>
      <c r="H25" s="30"/>
      <c r="I25" s="271"/>
      <c r="J25" s="271"/>
      <c r="K25" s="271"/>
      <c r="L25" s="103">
        <f>IF(L78=0,0,(L11)/L78)</f>
        <v>0.13547424705722469</v>
      </c>
      <c r="M25" s="38"/>
      <c r="N25" s="38"/>
    </row>
    <row r="26" spans="2:14">
      <c r="B26" s="35">
        <f>B25+1</f>
        <v>8</v>
      </c>
      <c r="C26" s="30"/>
      <c r="D26" s="14" t="s">
        <v>418</v>
      </c>
      <c r="E26" s="7" t="str">
        <f>"(ln "&amp;B25&amp;" / 12)"</f>
        <v>(ln 7 / 12)</v>
      </c>
      <c r="F26" s="30"/>
      <c r="G26" s="30"/>
      <c r="H26" s="30"/>
      <c r="I26" s="271"/>
      <c r="J26" s="271"/>
      <c r="K26" s="271"/>
      <c r="L26" s="34">
        <f>L25/12</f>
        <v>1.1289520588102057E-2</v>
      </c>
      <c r="M26" s="38"/>
      <c r="N26" s="38"/>
    </row>
    <row r="27" spans="2:14">
      <c r="B27" s="35"/>
      <c r="C27" s="30"/>
      <c r="D27" s="14"/>
      <c r="E27" s="7"/>
      <c r="F27" s="30"/>
      <c r="G27" s="30"/>
      <c r="H27" s="30"/>
      <c r="I27" s="271"/>
      <c r="J27" s="271"/>
      <c r="K27" s="271"/>
      <c r="L27" s="34"/>
      <c r="M27" s="38"/>
      <c r="N27" s="38"/>
    </row>
    <row r="28" spans="2:14">
      <c r="B28" s="35">
        <f>B26+1</f>
        <v>9</v>
      </c>
      <c r="C28" s="30"/>
      <c r="D28" s="467" t="str">
        <f>"NET PLANT CARRYING CHARGE ON LINE "&amp;B25&amp;" , W/O DEPRECIATION (w/o incentives) (Note B)"</f>
        <v>NET PLANT CARRYING CHARGE ON LINE 7 , W/O DEPRECIATION (w/o incentives) (Note B)</v>
      </c>
      <c r="E28" s="7"/>
      <c r="F28" s="30"/>
      <c r="G28" s="30"/>
      <c r="H28" s="30"/>
      <c r="I28" s="271"/>
      <c r="J28" s="271"/>
      <c r="K28" s="271"/>
      <c r="L28" s="34"/>
      <c r="M28" s="38"/>
      <c r="N28" s="38"/>
    </row>
    <row r="29" spans="2:14">
      <c r="B29" s="35">
        <f>B28+1</f>
        <v>10</v>
      </c>
      <c r="C29" s="30"/>
      <c r="D29" s="14" t="s">
        <v>417</v>
      </c>
      <c r="E29" s="7" t="str">
        <f>"( (ln "&amp;B11&amp;" - ln "&amp;B149&amp;") / ln "&amp;B78&amp;" x 100%)"</f>
        <v>( (ln 1 - ln 84) / ln 37 x 100%)</v>
      </c>
      <c r="F29" s="30"/>
      <c r="G29" s="30"/>
      <c r="H29" s="30"/>
      <c r="I29" s="271"/>
      <c r="J29" s="271"/>
      <c r="K29" s="271"/>
      <c r="L29" s="103">
        <f>IF(L78=0,0,(L11-L149)/L78)</f>
        <v>0.10289771335145892</v>
      </c>
      <c r="M29" s="38"/>
      <c r="N29" s="38"/>
    </row>
    <row r="30" spans="2:14">
      <c r="B30" s="35"/>
      <c r="C30" s="30"/>
      <c r="D30" s="14"/>
      <c r="E30" s="7"/>
      <c r="F30" s="30"/>
      <c r="G30" s="30"/>
      <c r="H30" s="30"/>
      <c r="I30" s="271"/>
      <c r="J30" s="271"/>
      <c r="K30" s="271"/>
      <c r="L30" s="34"/>
      <c r="M30" s="38"/>
      <c r="N30" s="38"/>
    </row>
    <row r="31" spans="2:14">
      <c r="B31" s="35">
        <f>B29+1</f>
        <v>11</v>
      </c>
      <c r="C31" s="30"/>
      <c r="D31" s="467" t="str">
        <f>"NET PLANT CARRYING CHARGE ON LINE "&amp;B28&amp;", W/O  INCOME TAXES, RETURN  (Note B)"</f>
        <v>NET PLANT CARRYING CHARGE ON LINE 9, W/O  INCOME TAXES, RETURN  (Note B)</v>
      </c>
      <c r="E31" s="7"/>
      <c r="F31" s="30"/>
      <c r="G31" s="30"/>
      <c r="H31" s="30"/>
      <c r="I31" s="271"/>
      <c r="J31" s="271"/>
      <c r="K31" s="271"/>
      <c r="L31" s="294"/>
      <c r="M31" s="38"/>
      <c r="N31" s="38"/>
    </row>
    <row r="32" spans="2:14">
      <c r="B32" s="35">
        <f>B31+1</f>
        <v>12</v>
      </c>
      <c r="C32" s="30"/>
      <c r="D32" s="14" t="s">
        <v>417</v>
      </c>
      <c r="E32" s="7" t="str">
        <f>"( (ln "&amp;B11&amp;" - ln "&amp;B149&amp;" - ln "&amp;B178&amp;" - ln "&amp;B180&amp;") / ln "&amp;B78&amp;" x 100%)"</f>
        <v>( (ln 1 - ln 84 - ln 109 - ln 110) / ln 37 x 100%)</v>
      </c>
      <c r="F32" s="30"/>
      <c r="G32" s="30"/>
      <c r="H32" s="30"/>
      <c r="I32" s="271"/>
      <c r="J32" s="271"/>
      <c r="K32" s="271"/>
      <c r="L32" s="1299">
        <f>IF(L78=0,0,(L11-L149-L178-L180)/L78)</f>
        <v>3.3401434598846966E-2</v>
      </c>
      <c r="M32" s="38"/>
      <c r="N32" s="38"/>
    </row>
    <row r="33" spans="2:16">
      <c r="B33" s="35"/>
      <c r="C33" s="30"/>
      <c r="D33" s="14"/>
      <c r="E33" s="7"/>
      <c r="F33" s="30"/>
      <c r="G33" s="30"/>
      <c r="H33" s="30"/>
      <c r="I33" s="271"/>
      <c r="J33" s="271"/>
      <c r="K33" s="271"/>
      <c r="L33" s="103"/>
      <c r="M33" s="38"/>
      <c r="N33" s="38"/>
    </row>
    <row r="34" spans="2:16">
      <c r="B34" s="35">
        <f>B32+1</f>
        <v>13</v>
      </c>
      <c r="C34" s="30"/>
      <c r="D34" s="169" t="s">
        <v>1163</v>
      </c>
      <c r="E34" s="7"/>
      <c r="F34" s="30"/>
      <c r="G34" s="30"/>
      <c r="H34" s="30"/>
      <c r="I34" s="271"/>
      <c r="J34" s="271"/>
      <c r="K34" s="271"/>
      <c r="L34" s="1084">
        <f>+'SWEPCO WS G BPU ATRR'!P18</f>
        <v>0</v>
      </c>
      <c r="M34" s="38"/>
      <c r="N34" s="38"/>
    </row>
    <row r="35" spans="2:16">
      <c r="B35" s="35"/>
      <c r="C35" s="30"/>
      <c r="D35" s="5"/>
      <c r="E35" s="7"/>
      <c r="F35" s="30"/>
      <c r="G35" s="30"/>
      <c r="H35" s="30"/>
      <c r="I35" s="271"/>
      <c r="J35" s="271"/>
      <c r="K35" s="271"/>
      <c r="L35" s="103"/>
      <c r="M35" s="38"/>
      <c r="N35" s="38"/>
    </row>
    <row r="36" spans="2:16">
      <c r="B36" s="15"/>
      <c r="C36" s="30"/>
      <c r="D36" s="5"/>
      <c r="E36" s="7"/>
      <c r="F36" s="30"/>
      <c r="G36" s="30"/>
      <c r="H36" s="30"/>
      <c r="I36" s="271"/>
      <c r="J36" s="271"/>
      <c r="K36" s="271"/>
      <c r="L36" s="103"/>
      <c r="M36" s="38"/>
      <c r="N36" s="38"/>
    </row>
    <row r="37" spans="2:16">
      <c r="B37" s="35"/>
      <c r="C37" s="30"/>
      <c r="D37" s="5"/>
      <c r="E37" s="7"/>
      <c r="F37" s="30"/>
      <c r="G37" s="30"/>
      <c r="H37" s="30"/>
      <c r="I37" s="271"/>
      <c r="J37" s="271"/>
      <c r="K37" s="271"/>
      <c r="L37" s="103"/>
      <c r="M37" s="38"/>
      <c r="N37" s="38"/>
    </row>
    <row r="38" spans="2:16">
      <c r="B38" s="35"/>
      <c r="C38" s="30"/>
      <c r="D38" s="5"/>
      <c r="E38" s="7"/>
      <c r="F38" s="30"/>
      <c r="G38" s="30"/>
      <c r="H38" s="30"/>
      <c r="I38" s="271"/>
      <c r="J38" s="271"/>
      <c r="K38" s="271"/>
      <c r="L38" s="103"/>
      <c r="M38" s="38"/>
      <c r="N38" s="38"/>
    </row>
    <row r="39" spans="2:16">
      <c r="B39" s="37"/>
      <c r="C39" s="5"/>
      <c r="D39" s="14"/>
      <c r="E39" s="14"/>
      <c r="G39" s="101"/>
      <c r="H39" s="14"/>
      <c r="I39" s="14"/>
      <c r="J39" s="14"/>
      <c r="K39" s="14"/>
      <c r="L39" s="14"/>
      <c r="M39" s="38"/>
      <c r="N39" s="38"/>
    </row>
    <row r="40" spans="2:16">
      <c r="B40" s="37"/>
      <c r="C40" s="5"/>
      <c r="D40" s="14"/>
      <c r="E40" s="14"/>
      <c r="F40" s="30"/>
      <c r="G40" s="101"/>
      <c r="H40" s="14"/>
      <c r="I40" s="14"/>
      <c r="J40" s="14"/>
      <c r="K40" s="14"/>
      <c r="L40" s="14"/>
      <c r="M40" s="38"/>
      <c r="N40" s="38"/>
      <c r="P40" s="1085"/>
    </row>
    <row r="41" spans="2:16">
      <c r="B41" s="37"/>
      <c r="C41" s="5"/>
      <c r="D41" s="14"/>
      <c r="E41" s="14"/>
      <c r="F41" s="30" t="str">
        <f>F3</f>
        <v xml:space="preserve">AEP West SPP Member Operating Companies </v>
      </c>
      <c r="G41" s="101"/>
      <c r="H41" s="14"/>
      <c r="I41" s="14"/>
      <c r="J41" s="14"/>
      <c r="K41" s="14"/>
      <c r="L41" s="14"/>
      <c r="M41" s="38"/>
      <c r="N41" s="38"/>
      <c r="P41" s="1085"/>
    </row>
    <row r="42" spans="2:16">
      <c r="B42" s="37"/>
      <c r="C42" s="5"/>
      <c r="D42" s="14"/>
      <c r="E42" s="8"/>
      <c r="F42" s="30" t="str">
        <f>F4</f>
        <v>Transmission Cost of Service Formula Rate</v>
      </c>
      <c r="G42" s="8"/>
      <c r="H42" s="8"/>
      <c r="I42" s="8"/>
      <c r="J42" s="8"/>
      <c r="K42" s="8"/>
      <c r="L42" s="8"/>
      <c r="M42" s="38"/>
      <c r="N42" s="38"/>
      <c r="P42" s="1086"/>
    </row>
    <row r="43" spans="2:16">
      <c r="B43" s="37"/>
      <c r="C43" s="5"/>
      <c r="D43" s="14"/>
      <c r="E43" s="8"/>
      <c r="F43" s="11" t="str">
        <f>F5</f>
        <v>Utilizing Actual / Projected Cost Data for the 2019 Rate Year</v>
      </c>
      <c r="G43" s="8"/>
      <c r="H43" s="8"/>
      <c r="I43" s="8"/>
      <c r="J43" s="8"/>
      <c r="K43" s="8"/>
      <c r="L43" s="8"/>
      <c r="M43" s="38"/>
      <c r="N43" s="38"/>
      <c r="P43" s="1086"/>
    </row>
    <row r="44" spans="2:16">
      <c r="B44" s="37"/>
      <c r="C44" s="5"/>
      <c r="D44" s="14"/>
      <c r="E44" s="8"/>
      <c r="F44" s="30"/>
      <c r="G44" s="8"/>
      <c r="H44" s="8"/>
      <c r="I44" s="8"/>
      <c r="J44" s="8"/>
      <c r="K44" s="8"/>
      <c r="L44" s="8"/>
      <c r="M44" s="38"/>
      <c r="N44" s="38"/>
      <c r="P44" s="1086"/>
    </row>
    <row r="45" spans="2:16">
      <c r="B45" s="37"/>
      <c r="C45" s="5"/>
      <c r="D45" s="14"/>
      <c r="E45" s="8"/>
      <c r="F45" s="30" t="str">
        <f>F7</f>
        <v>SOUTHWESTERN ELECTRIC POWER COMPANY</v>
      </c>
      <c r="G45" s="8"/>
      <c r="H45" s="8"/>
      <c r="I45" s="8"/>
      <c r="J45" s="8"/>
      <c r="K45" s="8"/>
      <c r="L45" s="8"/>
      <c r="M45" s="38"/>
      <c r="N45" s="38"/>
      <c r="P45" s="1086"/>
    </row>
    <row r="46" spans="2:16">
      <c r="B46" s="37"/>
      <c r="C46" s="5"/>
      <c r="D46" s="14"/>
      <c r="E46" s="11"/>
      <c r="F46" s="11"/>
      <c r="G46" s="11"/>
      <c r="H46" s="11"/>
      <c r="I46" s="11"/>
      <c r="J46" s="11"/>
      <c r="K46" s="11"/>
      <c r="L46" s="8"/>
      <c r="M46" s="38"/>
      <c r="N46" s="38"/>
      <c r="P46" s="1086"/>
    </row>
    <row r="47" spans="2:16">
      <c r="B47" s="37"/>
      <c r="C47" s="5"/>
      <c r="D47" s="30" t="s">
        <v>298</v>
      </c>
      <c r="E47" s="30" t="s">
        <v>299</v>
      </c>
      <c r="F47" s="30"/>
      <c r="G47" s="30" t="s">
        <v>300</v>
      </c>
      <c r="H47" s="8" t="s">
        <v>291</v>
      </c>
      <c r="I47" s="1541" t="s">
        <v>301</v>
      </c>
      <c r="J47" s="1542"/>
      <c r="K47" s="8"/>
      <c r="L47" s="379" t="s">
        <v>302</v>
      </c>
      <c r="M47" s="38"/>
      <c r="N47" s="38"/>
    </row>
    <row r="48" spans="2:16">
      <c r="B48" s="15"/>
      <c r="C48" s="5"/>
      <c r="D48" s="38"/>
      <c r="E48" s="38"/>
      <c r="F48" s="38"/>
      <c r="G48" s="79"/>
      <c r="H48" s="8"/>
      <c r="I48" s="8"/>
      <c r="J48" s="470"/>
      <c r="K48" s="8"/>
      <c r="L48" s="5"/>
      <c r="M48" s="38"/>
      <c r="N48" s="38"/>
    </row>
    <row r="49" spans="2:16" ht="15.75">
      <c r="B49" s="76"/>
      <c r="C49" s="30"/>
      <c r="D49" s="38"/>
      <c r="E49" s="471" t="s">
        <v>277</v>
      </c>
      <c r="F49" s="472"/>
      <c r="G49" s="8"/>
      <c r="H49" s="8"/>
      <c r="I49" s="8"/>
      <c r="J49" s="30"/>
      <c r="K49" s="8"/>
      <c r="L49" s="377" t="s">
        <v>295</v>
      </c>
      <c r="M49" s="38"/>
      <c r="N49" s="38"/>
      <c r="P49" s="1085"/>
    </row>
    <row r="50" spans="2:16" ht="15.75">
      <c r="B50" s="15"/>
      <c r="C50" s="25"/>
      <c r="D50" s="473" t="s">
        <v>276</v>
      </c>
      <c r="E50" s="474" t="s">
        <v>289</v>
      </c>
      <c r="F50" s="8"/>
      <c r="G50" s="473" t="s">
        <v>263</v>
      </c>
      <c r="H50" s="121"/>
      <c r="I50" s="1539" t="s">
        <v>296</v>
      </c>
      <c r="J50" s="1540"/>
      <c r="K50" s="121"/>
      <c r="L50" s="473" t="s">
        <v>292</v>
      </c>
      <c r="M50" s="38"/>
      <c r="N50" s="38"/>
    </row>
    <row r="51" spans="2:16">
      <c r="B51" s="254" t="str">
        <f>B9</f>
        <v>Line</v>
      </c>
      <c r="C51" s="30"/>
      <c r="D51" s="14"/>
      <c r="E51" s="8"/>
      <c r="F51" s="8"/>
      <c r="G51" s="475" t="s">
        <v>168</v>
      </c>
      <c r="H51" s="8"/>
      <c r="I51" s="8"/>
      <c r="J51" s="8"/>
      <c r="K51" s="8"/>
      <c r="L51" s="8"/>
      <c r="M51" s="38"/>
      <c r="N51" s="38"/>
    </row>
    <row r="52" spans="2:16" ht="15.75" thickBot="1">
      <c r="B52" s="381" t="str">
        <f>B10</f>
        <v>No.</v>
      </c>
      <c r="C52" s="30"/>
      <c r="D52" s="14" t="s">
        <v>264</v>
      </c>
      <c r="E52" s="9"/>
      <c r="F52" s="9"/>
      <c r="G52" s="8"/>
      <c r="H52" s="8"/>
      <c r="I52" s="11"/>
      <c r="J52" s="8"/>
      <c r="K52" s="8"/>
      <c r="L52" s="8"/>
      <c r="M52" s="38"/>
      <c r="N52" s="38"/>
    </row>
    <row r="53" spans="2:16">
      <c r="B53" s="35">
        <f>+B34+1</f>
        <v>14</v>
      </c>
      <c r="C53" s="30"/>
      <c r="D53" s="16" t="s">
        <v>303</v>
      </c>
      <c r="E53" s="8" t="str">
        <f>"(Worksheet A ln "&amp;'SWEPCO WS A RB Support '!A17&amp;".E)"</f>
        <v>(Worksheet A ln 3.E)</v>
      </c>
      <c r="F53" s="259"/>
      <c r="G53" s="45">
        <f>+'SWEPCO WS A RB Support '!G17</f>
        <v>4743193357.1026249</v>
      </c>
      <c r="H53" s="45"/>
      <c r="I53" s="11" t="s">
        <v>304</v>
      </c>
      <c r="J53" s="12">
        <v>0</v>
      </c>
      <c r="K53" s="8"/>
      <c r="L53" s="45">
        <f>+J53*G53</f>
        <v>0</v>
      </c>
      <c r="M53" s="38"/>
      <c r="N53" s="38"/>
    </row>
    <row r="54" spans="2:16">
      <c r="B54" s="35">
        <f t="shared" ref="B54:B62" si="0">+B53+1</f>
        <v>15</v>
      </c>
      <c r="C54" s="30"/>
      <c r="D54" s="16" t="s">
        <v>32</v>
      </c>
      <c r="E54" s="8" t="str">
        <f>"(Worksheet A ln "&amp;'SWEPCO WS A RB Support '!A21&amp;".E)"</f>
        <v>(Worksheet A ln 6.E)</v>
      </c>
      <c r="F54" s="259"/>
      <c r="G54" s="45">
        <f>-'SWEPCO WS A RB Support '!G21</f>
        <v>-61119285</v>
      </c>
      <c r="H54" s="45"/>
      <c r="I54" s="11" t="s">
        <v>304</v>
      </c>
      <c r="J54" s="12">
        <v>0</v>
      </c>
      <c r="K54" s="8"/>
      <c r="L54" s="45">
        <f>+J54*G54</f>
        <v>0</v>
      </c>
      <c r="M54" s="38"/>
      <c r="N54" s="38"/>
    </row>
    <row r="55" spans="2:16">
      <c r="B55" s="35">
        <f t="shared" si="0"/>
        <v>16</v>
      </c>
      <c r="C55" s="77"/>
      <c r="D55" s="170" t="s">
        <v>305</v>
      </c>
      <c r="E55" s="274" t="str">
        <f>"(Worksheet A ln "&amp;'SWEPCO WS A RB Support '!A25&amp;".E &amp; Ln "&amp;B205&amp;")"</f>
        <v>(Worksheet A ln 9.E &amp; Ln 119)</v>
      </c>
      <c r="F55" s="370"/>
      <c r="G55" s="45">
        <f>+'SWEPCO WS A RB Support '!G25</f>
        <v>1926953229.3578701</v>
      </c>
      <c r="H55" s="45"/>
      <c r="I55" s="118" t="s">
        <v>306</v>
      </c>
      <c r="J55" s="8"/>
      <c r="K55" s="115"/>
      <c r="L55" s="119">
        <f>+L205</f>
        <v>1837281284.3578701</v>
      </c>
      <c r="M55" s="38"/>
      <c r="N55" s="38"/>
    </row>
    <row r="56" spans="2:16">
      <c r="B56" s="35">
        <f t="shared" si="0"/>
        <v>17</v>
      </c>
      <c r="C56" s="77"/>
      <c r="D56" s="16" t="s">
        <v>33</v>
      </c>
      <c r="E56" s="8" t="str">
        <f>"(Worksheet A ln "&amp;'SWEPCO WS A RB Support '!A29&amp;".E)"</f>
        <v>(Worksheet A ln 12.E)</v>
      </c>
      <c r="F56" s="370"/>
      <c r="G56" s="45">
        <f>-+'SWEPCO WS A RB Support '!G29</f>
        <v>0</v>
      </c>
      <c r="H56" s="45"/>
      <c r="I56" s="118" t="s">
        <v>297</v>
      </c>
      <c r="J56" s="12">
        <f>+$L$207</f>
        <v>0.95346438946528977</v>
      </c>
      <c r="K56" s="115"/>
      <c r="L56" s="119">
        <f>+G56*J56</f>
        <v>0</v>
      </c>
      <c r="M56" s="38"/>
      <c r="N56" s="38"/>
    </row>
    <row r="57" spans="2:16">
      <c r="B57" s="35">
        <f>+B56+1</f>
        <v>18</v>
      </c>
      <c r="C57" s="77"/>
      <c r="D57" s="14" t="s">
        <v>307</v>
      </c>
      <c r="E57" s="8" t="str">
        <f>"(Worksheet A ln "&amp;'SWEPCO WS A RB Support '!A31&amp;".E)"</f>
        <v>(Worksheet A ln 13.E)</v>
      </c>
      <c r="F57" s="259"/>
      <c r="G57" s="45">
        <f>+'SWEPCO WS A RB Support '!G31</f>
        <v>2271977272.5235596</v>
      </c>
      <c r="H57" s="45"/>
      <c r="I57" s="11" t="s">
        <v>304</v>
      </c>
      <c r="J57" s="12">
        <v>0</v>
      </c>
      <c r="K57" s="8"/>
      <c r="L57" s="45">
        <f>+J57*G57</f>
        <v>0</v>
      </c>
      <c r="M57" s="38"/>
      <c r="N57" s="38"/>
    </row>
    <row r="58" spans="2:16">
      <c r="B58" s="35">
        <f t="shared" si="0"/>
        <v>19</v>
      </c>
      <c r="C58" s="77"/>
      <c r="D58" s="16" t="s">
        <v>30</v>
      </c>
      <c r="E58" s="8" t="str">
        <f>"(Worksheet A ln "&amp;'SWEPCO WS A RB Support '!A33&amp;".E)"</f>
        <v>(Worksheet A ln 14.E)</v>
      </c>
      <c r="F58" s="259"/>
      <c r="G58" s="45">
        <f>-+'SWEPCO WS A RB Support '!G33</f>
        <v>0</v>
      </c>
      <c r="H58" s="45"/>
      <c r="I58" s="11" t="s">
        <v>304</v>
      </c>
      <c r="J58" s="12">
        <v>0</v>
      </c>
      <c r="K58" s="8"/>
      <c r="L58" s="45">
        <f>+G58*J58</f>
        <v>0</v>
      </c>
      <c r="M58" s="38"/>
      <c r="N58" s="38"/>
    </row>
    <row r="59" spans="2:16">
      <c r="B59" s="35">
        <f t="shared" si="0"/>
        <v>20</v>
      </c>
      <c r="C59" s="77"/>
      <c r="D59" s="14" t="s">
        <v>308</v>
      </c>
      <c r="E59" s="8" t="str">
        <f>"(Worksheet A ln "&amp;'SWEPCO WS A RB Support '!A35&amp;".E)"</f>
        <v>(Worksheet A ln 15.E)</v>
      </c>
      <c r="F59" s="259"/>
      <c r="G59" s="45">
        <f>+'SWEPCO WS A RB Support '!G35</f>
        <v>300098106.10410249</v>
      </c>
      <c r="H59" s="45"/>
      <c r="I59" s="11" t="s">
        <v>309</v>
      </c>
      <c r="J59" s="12">
        <f>+$L$217</f>
        <v>7.2207695261754939E-2</v>
      </c>
      <c r="K59" s="8"/>
      <c r="L59" s="45">
        <f>+J59*G59</f>
        <v>21669392.594194833</v>
      </c>
      <c r="M59" s="38"/>
      <c r="N59" s="38"/>
    </row>
    <row r="60" spans="2:16">
      <c r="B60" s="35">
        <f t="shared" si="0"/>
        <v>21</v>
      </c>
      <c r="C60" s="77"/>
      <c r="D60" s="16" t="s">
        <v>31</v>
      </c>
      <c r="E60" s="8" t="str">
        <f>"(Worksheet A ln "&amp;'SWEPCO WS A RB Support '!A37&amp;".E)"</f>
        <v>(Worksheet A ln 16.E)</v>
      </c>
      <c r="F60" s="259"/>
      <c r="G60" s="45">
        <f>-'SWEPCO WS A RB Support '!G37</f>
        <v>-937494</v>
      </c>
      <c r="H60" s="45"/>
      <c r="I60" s="11" t="s">
        <v>309</v>
      </c>
      <c r="J60" s="12">
        <f>+$L$217</f>
        <v>7.2207695261754939E-2</v>
      </c>
      <c r="K60" s="8"/>
      <c r="L60" s="45">
        <f>+G60*J60</f>
        <v>-67694.281061723683</v>
      </c>
      <c r="M60" s="38"/>
      <c r="N60" s="38"/>
    </row>
    <row r="61" spans="2:16" ht="15.75" thickBot="1">
      <c r="B61" s="35">
        <f t="shared" si="0"/>
        <v>22</v>
      </c>
      <c r="C61" s="77"/>
      <c r="D61" s="14" t="s">
        <v>310</v>
      </c>
      <c r="E61" s="8" t="str">
        <f>"(Worksheet A ln "&amp;'SWEPCO WS A RB Support '!A39&amp;".E)"</f>
        <v>(Worksheet A ln 17.E)</v>
      </c>
      <c r="F61" s="259"/>
      <c r="G61" s="46">
        <f>+'SWEPCO WS A RB Support '!G39</f>
        <v>138324275.975539</v>
      </c>
      <c r="H61" s="45"/>
      <c r="I61" s="11" t="s">
        <v>309</v>
      </c>
      <c r="J61" s="12">
        <f>+$L$217</f>
        <v>7.2207695261754939E-2</v>
      </c>
      <c r="K61" s="8"/>
      <c r="L61" s="46">
        <f>+J61*G61</f>
        <v>9988077.16694461</v>
      </c>
      <c r="M61" s="38"/>
      <c r="N61" s="38"/>
      <c r="O61" s="476"/>
    </row>
    <row r="62" spans="2:16" ht="15.75">
      <c r="B62" s="76">
        <f t="shared" si="0"/>
        <v>23</v>
      </c>
      <c r="C62" s="77"/>
      <c r="D62" s="14" t="s">
        <v>262</v>
      </c>
      <c r="E62" s="101" t="str">
        <f>"(sum lns "&amp;B53&amp;" to "&amp;B61&amp;")"</f>
        <v>(sum lns 14 to 22)</v>
      </c>
      <c r="F62" s="163"/>
      <c r="G62" s="45">
        <f>SUM(G53:G61)</f>
        <v>9318489462.0636959</v>
      </c>
      <c r="H62" s="45"/>
      <c r="I62" s="79" t="s">
        <v>1104</v>
      </c>
      <c r="J62" s="185">
        <f>IF(G62=0,0,L62/G62)</f>
        <v>0.20055515085854517</v>
      </c>
      <c r="K62" s="8"/>
      <c r="L62" s="45">
        <f>SUM(L53:L61)</f>
        <v>1868871059.8379478</v>
      </c>
      <c r="M62" s="38"/>
      <c r="N62" s="38"/>
      <c r="O62" s="476"/>
    </row>
    <row r="63" spans="2:16" ht="15.75">
      <c r="B63" s="76"/>
      <c r="C63" s="30"/>
      <c r="D63" s="14"/>
      <c r="E63" s="198"/>
      <c r="F63" s="163"/>
      <c r="G63" s="500"/>
      <c r="H63" s="45"/>
      <c r="I63" s="122" t="s">
        <v>401</v>
      </c>
      <c r="J63" s="1087">
        <f>+G55/(++G55+G57)</f>
        <v>0.45891524722651478</v>
      </c>
      <c r="K63" s="8"/>
      <c r="L63" s="45"/>
      <c r="M63" s="38"/>
      <c r="N63" s="38"/>
      <c r="O63" s="476"/>
    </row>
    <row r="64" spans="2:16">
      <c r="B64" s="35">
        <f>+B62+1</f>
        <v>24</v>
      </c>
      <c r="C64" s="30"/>
      <c r="D64" s="14" t="s">
        <v>244</v>
      </c>
      <c r="E64" s="9"/>
      <c r="F64" s="9"/>
      <c r="G64" s="500"/>
      <c r="H64" s="124"/>
      <c r="I64" s="11"/>
      <c r="J64" s="125"/>
      <c r="K64" s="8"/>
      <c r="L64" s="45"/>
      <c r="M64" s="38"/>
      <c r="N64" s="38"/>
      <c r="O64" s="2"/>
    </row>
    <row r="65" spans="2:15">
      <c r="B65" s="35">
        <f t="shared" ref="B65:B74" si="1">+B64+1</f>
        <v>25</v>
      </c>
      <c r="C65" s="30"/>
      <c r="D65" s="16" t="str">
        <f>+D53</f>
        <v xml:space="preserve">  Production</v>
      </c>
      <c r="E65" s="8" t="str">
        <f>"(Worksheet A ln "&amp;'SWEPCO WS A RB Support '!A49&amp;".E)"</f>
        <v>(Worksheet A ln 22.E)</v>
      </c>
      <c r="F65" s="259"/>
      <c r="G65" s="45">
        <f>+'SWEPCO WS A RB Support '!G49</f>
        <v>1614568149.7036824</v>
      </c>
      <c r="H65" s="45"/>
      <c r="I65" s="11" t="s">
        <v>304</v>
      </c>
      <c r="J65" s="12">
        <v>0</v>
      </c>
      <c r="K65" s="8"/>
      <c r="L65" s="45">
        <f>+J65*G65</f>
        <v>0</v>
      </c>
      <c r="M65" s="38"/>
      <c r="N65" s="38"/>
      <c r="O65" s="2"/>
    </row>
    <row r="66" spans="2:15">
      <c r="B66" s="35">
        <f t="shared" si="1"/>
        <v>26</v>
      </c>
      <c r="C66" s="30"/>
      <c r="D66" s="16" t="s">
        <v>32</v>
      </c>
      <c r="E66" s="8" t="str">
        <f>"(Worksheet A ln "&amp;'SWEPCO WS A RB Support '!A53&amp;".E)"</f>
        <v>(Worksheet A ln 25.E)</v>
      </c>
      <c r="F66" s="259"/>
      <c r="G66" s="45">
        <f>-+'SWEPCO WS A RB Support '!G53</f>
        <v>-12052762.8129999</v>
      </c>
      <c r="H66" s="45"/>
      <c r="I66" s="11" t="s">
        <v>304</v>
      </c>
      <c r="J66" s="12">
        <v>0</v>
      </c>
      <c r="K66" s="8"/>
      <c r="L66" s="45">
        <f>+J66*G66</f>
        <v>0</v>
      </c>
      <c r="M66" s="38"/>
      <c r="N66" s="38"/>
      <c r="O66" s="2"/>
    </row>
    <row r="67" spans="2:15" ht="15.75">
      <c r="B67" s="35">
        <f t="shared" si="1"/>
        <v>27</v>
      </c>
      <c r="C67" s="77"/>
      <c r="D67" s="170" t="str">
        <f>D55</f>
        <v xml:space="preserve">  Transmission</v>
      </c>
      <c r="E67" s="8" t="str">
        <f>"(Worksheet A ln "&amp;'SWEPCO WS A RB Support '!A57&amp;".E &amp; "&amp;'SWEPCO WS A RB Support '!A95&amp;".E)"</f>
        <v>(Worksheet A ln 28.E &amp; 47.E)</v>
      </c>
      <c r="F67" s="274"/>
      <c r="G67" s="45">
        <f>+'SWEPCO WS A RB Support '!G57</f>
        <v>555592260.99321604</v>
      </c>
      <c r="H67" s="45"/>
      <c r="I67" s="126" t="s">
        <v>246</v>
      </c>
      <c r="J67" s="127">
        <f>IF(G67=0,0,L67/G67)</f>
        <v>0.92757815302541846</v>
      </c>
      <c r="K67" s="115"/>
      <c r="L67" s="45">
        <f>+'SWEPCO WS A RB Support '!G95</f>
        <v>515355243.28730357</v>
      </c>
      <c r="M67" s="38"/>
      <c r="N67" s="38"/>
      <c r="O67" s="2"/>
    </row>
    <row r="68" spans="2:15" ht="15.75">
      <c r="B68" s="35">
        <f t="shared" si="1"/>
        <v>28</v>
      </c>
      <c r="C68" s="77"/>
      <c r="D68" s="16" t="s">
        <v>33</v>
      </c>
      <c r="E68" s="8" t="str">
        <f>"(Worksheet A ln "&amp;'SWEPCO WS A RB Support '!A61&amp;".E)"</f>
        <v>(Worksheet A ln 31.E)</v>
      </c>
      <c r="F68" s="370"/>
      <c r="G68" s="45">
        <f>-'SWEPCO WS A RB Support '!G61</f>
        <v>0</v>
      </c>
      <c r="H68" s="45"/>
      <c r="I68" s="126" t="s">
        <v>246</v>
      </c>
      <c r="J68" s="12">
        <f>+J67</f>
        <v>0.92757815302541846</v>
      </c>
      <c r="K68" s="115"/>
      <c r="L68" s="45">
        <f t="shared" ref="L68:L73" si="2">+J68*G68</f>
        <v>0</v>
      </c>
      <c r="M68" s="38"/>
      <c r="N68" s="38"/>
      <c r="O68" s="2"/>
    </row>
    <row r="69" spans="2:15">
      <c r="B69" s="35">
        <f>+B68+1</f>
        <v>29</v>
      </c>
      <c r="C69" s="77"/>
      <c r="D69" s="14" t="str">
        <f>+D57</f>
        <v xml:space="preserve">  Distribution</v>
      </c>
      <c r="E69" s="8" t="str">
        <f>"(Worksheet A ln "&amp;'SWEPCO WS A RB Support '!A63&amp;".E)"</f>
        <v>(Worksheet A ln 32.E)</v>
      </c>
      <c r="F69" s="259"/>
      <c r="G69" s="45">
        <f>+'SWEPCO WS A RB Support '!G63</f>
        <v>760612162.70459306</v>
      </c>
      <c r="H69" s="45"/>
      <c r="I69" s="11" t="s">
        <v>304</v>
      </c>
      <c r="J69" s="12">
        <v>0</v>
      </c>
      <c r="K69" s="8"/>
      <c r="L69" s="45">
        <f t="shared" si="2"/>
        <v>0</v>
      </c>
      <c r="M69" s="38"/>
      <c r="N69" s="38"/>
      <c r="O69" s="2"/>
    </row>
    <row r="70" spans="2:15">
      <c r="B70" s="35">
        <f t="shared" si="1"/>
        <v>30</v>
      </c>
      <c r="C70" s="77"/>
      <c r="D70" s="16" t="s">
        <v>30</v>
      </c>
      <c r="E70" s="8" t="str">
        <f>"(Worksheet A ln "&amp;'SWEPCO WS A RB Support '!A65&amp;".E)"</f>
        <v>(Worksheet A ln 33.E)</v>
      </c>
      <c r="F70" s="259"/>
      <c r="G70" s="45">
        <f>-'SWEPCO WS A RB Support '!G65</f>
        <v>0</v>
      </c>
      <c r="H70" s="45"/>
      <c r="I70" s="11" t="s">
        <v>304</v>
      </c>
      <c r="J70" s="12">
        <v>0</v>
      </c>
      <c r="K70" s="8"/>
      <c r="L70" s="45">
        <f t="shared" si="2"/>
        <v>0</v>
      </c>
      <c r="M70" s="38"/>
      <c r="N70" s="38"/>
      <c r="O70" s="2"/>
    </row>
    <row r="71" spans="2:15">
      <c r="B71" s="35">
        <f t="shared" si="1"/>
        <v>31</v>
      </c>
      <c r="C71" s="77"/>
      <c r="D71" s="14" t="str">
        <f>+D59</f>
        <v xml:space="preserve">  General Plant   </v>
      </c>
      <c r="E71" s="8" t="str">
        <f>"(Worksheet A ln "&amp;'SWEPCO WS A RB Support '!A67&amp;".E)"</f>
        <v>(Worksheet A ln 34.E)</v>
      </c>
      <c r="F71" s="259"/>
      <c r="G71" s="45">
        <f>+'SWEPCO WS A RB Support '!G67</f>
        <v>162760475.4866375</v>
      </c>
      <c r="H71" s="45"/>
      <c r="I71" s="11" t="s">
        <v>309</v>
      </c>
      <c r="J71" s="12">
        <f>+$L$217</f>
        <v>7.2207695261754939E-2</v>
      </c>
      <c r="K71" s="8"/>
      <c r="L71" s="45">
        <f t="shared" si="2"/>
        <v>11752558.814597456</v>
      </c>
      <c r="M71" s="38"/>
      <c r="N71" s="38"/>
      <c r="O71" s="2"/>
    </row>
    <row r="72" spans="2:15">
      <c r="B72" s="35">
        <f t="shared" si="1"/>
        <v>32</v>
      </c>
      <c r="C72" s="77"/>
      <c r="D72" s="16" t="s">
        <v>31</v>
      </c>
      <c r="E72" s="8" t="str">
        <f>"(Worksheet A ln "&amp;'SWEPCO WS A RB Support '!A69&amp;".E)"</f>
        <v>(Worksheet A ln 35.E)</v>
      </c>
      <c r="F72" s="259"/>
      <c r="G72" s="45">
        <f>-'SWEPCO WS A RB Support '!G69</f>
        <v>-546718.79</v>
      </c>
      <c r="H72" s="45"/>
      <c r="I72" s="11" t="s">
        <v>309</v>
      </c>
      <c r="J72" s="12">
        <f>+$L$217</f>
        <v>7.2207695261754939E-2</v>
      </c>
      <c r="K72" s="8"/>
      <c r="L72" s="45">
        <f t="shared" si="2"/>
        <v>-39477.303782195399</v>
      </c>
      <c r="M72" s="38"/>
      <c r="N72" s="38"/>
      <c r="O72" s="2"/>
    </row>
    <row r="73" spans="2:15" ht="15.75" thickBot="1">
      <c r="B73" s="35">
        <f t="shared" si="1"/>
        <v>33</v>
      </c>
      <c r="C73" s="77"/>
      <c r="D73" s="14" t="str">
        <f>+D61</f>
        <v xml:space="preserve">  Intangible Plant</v>
      </c>
      <c r="E73" s="8" t="str">
        <f>"(Worksheet A ln "&amp;'SWEPCO WS A RB Support '!A71&amp;".E)"</f>
        <v>(Worksheet A ln 36.E)</v>
      </c>
      <c r="F73" s="259"/>
      <c r="G73" s="46">
        <f>+'SWEPCO WS A RB Support '!G71</f>
        <v>57328343.578295648</v>
      </c>
      <c r="H73" s="45"/>
      <c r="I73" s="11" t="s">
        <v>309</v>
      </c>
      <c r="J73" s="12">
        <f>+$L$217</f>
        <v>7.2207695261754939E-2</v>
      </c>
      <c r="K73" s="8"/>
      <c r="L73" s="46">
        <f t="shared" si="2"/>
        <v>4139547.5629627579</v>
      </c>
      <c r="M73" s="38"/>
      <c r="N73" s="38"/>
      <c r="O73" s="2"/>
    </row>
    <row r="74" spans="2:15">
      <c r="B74" s="35">
        <f t="shared" si="1"/>
        <v>34</v>
      </c>
      <c r="C74" s="77"/>
      <c r="D74" s="14" t="s">
        <v>261</v>
      </c>
      <c r="E74" s="903" t="str">
        <f>"(sum lns "&amp;B65&amp;" to "&amp;B73&amp;")"</f>
        <v>(sum lns 25 to 33)</v>
      </c>
      <c r="F74" s="344"/>
      <c r="G74" s="45">
        <f>SUM(G65:G73)</f>
        <v>3138261910.8634253</v>
      </c>
      <c r="H74" s="45"/>
      <c r="I74" s="11"/>
      <c r="J74" s="8"/>
      <c r="K74" s="45"/>
      <c r="L74" s="45">
        <f>SUM(L65:L73)</f>
        <v>531207872.36108154</v>
      </c>
      <c r="M74" s="38"/>
      <c r="N74" s="38"/>
      <c r="O74" s="2"/>
    </row>
    <row r="75" spans="2:15">
      <c r="B75" s="35"/>
      <c r="C75" s="30"/>
      <c r="D75" s="5"/>
      <c r="E75" s="343"/>
      <c r="F75" s="344"/>
      <c r="G75" s="45"/>
      <c r="H75" s="45"/>
      <c r="I75" s="11"/>
      <c r="J75" s="128"/>
      <c r="K75" s="8"/>
      <c r="L75" s="45"/>
      <c r="M75" s="38"/>
      <c r="N75" s="38"/>
      <c r="O75" s="2"/>
    </row>
    <row r="76" spans="2:15">
      <c r="B76" s="35">
        <f>+B74+1</f>
        <v>35</v>
      </c>
      <c r="C76" s="30"/>
      <c r="D76" s="14" t="s">
        <v>265</v>
      </c>
      <c r="E76" s="9"/>
      <c r="F76" s="9"/>
      <c r="G76" s="45"/>
      <c r="H76" s="45"/>
      <c r="I76" s="11"/>
      <c r="J76" s="8"/>
      <c r="K76" s="8"/>
      <c r="L76" s="45"/>
      <c r="M76" s="38"/>
      <c r="N76" s="38"/>
      <c r="O76" s="2"/>
    </row>
    <row r="77" spans="2:15">
      <c r="B77" s="76">
        <f t="shared" ref="B77:B82" si="3">+B76+1</f>
        <v>36</v>
      </c>
      <c r="C77" s="77"/>
      <c r="D77" s="16" t="str">
        <f>+D65</f>
        <v xml:space="preserve">  Production</v>
      </c>
      <c r="E77" s="8" t="str">
        <f>" (ln "&amp;B53&amp;" + ln "&amp;B54&amp;" - ln "&amp;B65&amp;" - ln "&amp;B66&amp;")"</f>
        <v xml:space="preserve"> (ln 14 + ln 15 - ln 25 - ln 26)</v>
      </c>
      <c r="F77" s="8"/>
      <c r="G77" s="45">
        <f>G53+G54-G65-G66</f>
        <v>3079558685.2119422</v>
      </c>
      <c r="H77" s="45"/>
      <c r="I77" s="11"/>
      <c r="J77" s="1088"/>
      <c r="K77" s="8"/>
      <c r="L77" s="45">
        <f>L53+L54-L65-L66</f>
        <v>0</v>
      </c>
      <c r="M77" s="38"/>
      <c r="N77" s="38"/>
      <c r="O77" s="2"/>
    </row>
    <row r="78" spans="2:15">
      <c r="B78" s="76">
        <f t="shared" si="3"/>
        <v>37</v>
      </c>
      <c r="C78" s="77"/>
      <c r="D78" s="16" t="str">
        <f>+D67</f>
        <v xml:space="preserve">  Transmission</v>
      </c>
      <c r="E78" s="8" t="str">
        <f>" (ln "&amp;B55&amp;" + ln "&amp;B56&amp;" - ln "&amp;B67&amp;" - ln "&amp;B68&amp;")"</f>
        <v xml:space="preserve"> (ln 16 + ln 17 - ln 27 - ln 28)</v>
      </c>
      <c r="F78" s="259"/>
      <c r="G78" s="45">
        <f>+G55+G56-G67-G68</f>
        <v>1371360968.3646541</v>
      </c>
      <c r="H78" s="45"/>
      <c r="I78" s="11"/>
      <c r="J78" s="127"/>
      <c r="K78" s="8"/>
      <c r="L78" s="45">
        <f>+L55+L56-L67-L68</f>
        <v>1321926041.0705667</v>
      </c>
      <c r="M78" s="38"/>
      <c r="N78" s="38"/>
      <c r="O78" s="2"/>
    </row>
    <row r="79" spans="2:15">
      <c r="B79" s="76">
        <f>+B78+1</f>
        <v>38</v>
      </c>
      <c r="C79" s="77"/>
      <c r="D79" s="16" t="str">
        <f>+D69</f>
        <v xml:space="preserve">  Distribution</v>
      </c>
      <c r="E79" s="8" t="str">
        <f>" (ln "&amp;B57&amp;" + ln "&amp;B58&amp;" - ln "&amp;B69&amp;" - ln "&amp;B70&amp;")"</f>
        <v xml:space="preserve"> (ln 18 + ln 19 - ln 29 - ln 30)</v>
      </c>
      <c r="F79" s="8"/>
      <c r="G79" s="45">
        <f>+G57+G58-G69-G70</f>
        <v>1511365109.8189664</v>
      </c>
      <c r="H79" s="45"/>
      <c r="I79" s="11"/>
      <c r="J79" s="128"/>
      <c r="K79" s="8"/>
      <c r="L79" s="45">
        <f>+L57+L58-L69-L70</f>
        <v>0</v>
      </c>
      <c r="M79" s="38"/>
      <c r="N79" s="38"/>
      <c r="O79" s="2"/>
    </row>
    <row r="80" spans="2:15">
      <c r="B80" s="76">
        <f t="shared" si="3"/>
        <v>39</v>
      </c>
      <c r="C80" s="77"/>
      <c r="D80" s="16" t="str">
        <f>+D71</f>
        <v xml:space="preserve">  General Plant   </v>
      </c>
      <c r="E80" s="8" t="str">
        <f>" (ln "&amp;B59&amp;" + ln "&amp;B60&amp;" - ln "&amp;B71&amp;" - ln "&amp;B72&amp;")"</f>
        <v xml:space="preserve"> (ln 20 + ln 21 - ln 31 - ln 32)</v>
      </c>
      <c r="F80" s="8"/>
      <c r="G80" s="45">
        <f>+G59+G60-G71-G72</f>
        <v>136946855.40746498</v>
      </c>
      <c r="H80" s="45"/>
      <c r="I80" s="11"/>
      <c r="J80" s="128"/>
      <c r="K80" s="8"/>
      <c r="L80" s="45">
        <f>+L59+L60-L71-L72</f>
        <v>9888616.8023178484</v>
      </c>
      <c r="M80" s="38"/>
      <c r="N80" s="38"/>
      <c r="O80" s="2"/>
    </row>
    <row r="81" spans="2:15" ht="15.75" thickBot="1">
      <c r="B81" s="76">
        <f t="shared" si="3"/>
        <v>40</v>
      </c>
      <c r="C81" s="77"/>
      <c r="D81" s="16" t="str">
        <f>+D73</f>
        <v xml:space="preserve">  Intangible Plant</v>
      </c>
      <c r="E81" s="8" t="str">
        <f>" (ln "&amp;B61&amp;" - ln "&amp;B73&amp;")"</f>
        <v xml:space="preserve"> (ln 22 - ln 33)</v>
      </c>
      <c r="F81" s="8"/>
      <c r="G81" s="46">
        <f>+G61-G73</f>
        <v>80995932.397243351</v>
      </c>
      <c r="H81" s="45"/>
      <c r="I81" s="11"/>
      <c r="J81" s="128"/>
      <c r="K81" s="8"/>
      <c r="L81" s="46">
        <f>+L61-L73</f>
        <v>5848529.6039818525</v>
      </c>
      <c r="M81" s="38"/>
      <c r="N81" s="38"/>
      <c r="O81" s="2"/>
    </row>
    <row r="82" spans="2:15" ht="15.75">
      <c r="B82" s="76">
        <f t="shared" si="3"/>
        <v>41</v>
      </c>
      <c r="C82" s="77"/>
      <c r="D82" s="16" t="s">
        <v>260</v>
      </c>
      <c r="E82" s="16" t="str">
        <f>"(sum lns "&amp;B77&amp;" to "&amp;B81&amp;")"</f>
        <v>(sum lns 36 to 40)</v>
      </c>
      <c r="F82" s="8"/>
      <c r="G82" s="45">
        <f>SUM(G77:G81)</f>
        <v>6180227551.2002716</v>
      </c>
      <c r="H82" s="45"/>
      <c r="I82" s="471" t="s">
        <v>1105</v>
      </c>
      <c r="J82" s="185">
        <f>IF(G82=0,0,L82/G82)</f>
        <v>0.21644238442597094</v>
      </c>
      <c r="K82" s="8"/>
      <c r="L82" s="45">
        <f>SUM(L78:L81)</f>
        <v>1337663187.4768662</v>
      </c>
      <c r="M82" s="38"/>
      <c r="N82" s="38"/>
      <c r="O82" s="2"/>
    </row>
    <row r="83" spans="2:15">
      <c r="B83" s="35"/>
      <c r="C83" s="30"/>
      <c r="D83" s="14"/>
      <c r="E83" s="8"/>
      <c r="F83" s="8"/>
      <c r="G83" s="45"/>
      <c r="H83" s="45"/>
      <c r="I83" s="5"/>
      <c r="J83" s="1089"/>
      <c r="K83" s="8"/>
      <c r="L83" s="45"/>
      <c r="M83" s="38"/>
      <c r="N83" s="38"/>
      <c r="O83" s="2"/>
    </row>
    <row r="84" spans="2:15">
      <c r="B84" s="35"/>
      <c r="C84" s="30"/>
      <c r="D84" s="5"/>
      <c r="G84" s="38"/>
      <c r="H84" s="38"/>
      <c r="I84" s="38"/>
      <c r="J84" s="38"/>
      <c r="K84" s="38"/>
      <c r="L84" s="38"/>
      <c r="M84" s="38"/>
      <c r="N84" s="38"/>
      <c r="O84" s="2"/>
    </row>
    <row r="85" spans="2:15">
      <c r="B85" s="35">
        <f>+B82+1</f>
        <v>42</v>
      </c>
      <c r="C85" s="30"/>
      <c r="D85" s="14" t="s">
        <v>447</v>
      </c>
      <c r="E85" s="8" t="s">
        <v>206</v>
      </c>
      <c r="F85" s="11"/>
      <c r="G85" s="38"/>
      <c r="H85" s="38"/>
      <c r="I85" s="38"/>
      <c r="J85" s="38"/>
      <c r="K85" s="38"/>
      <c r="L85" s="38"/>
      <c r="M85" s="38"/>
      <c r="N85" s="38"/>
      <c r="O85" s="2"/>
    </row>
    <row r="86" spans="2:15">
      <c r="B86" s="76">
        <f t="shared" ref="B86:B91" si="4">+B85+1</f>
        <v>43</v>
      </c>
      <c r="C86" s="77"/>
      <c r="D86" s="16" t="s">
        <v>367</v>
      </c>
      <c r="E86" s="8" t="s">
        <v>48</v>
      </c>
      <c r="F86" s="8"/>
      <c r="G86" s="45">
        <v>0</v>
      </c>
      <c r="H86" s="45"/>
      <c r="I86" s="11" t="s">
        <v>304</v>
      </c>
      <c r="J86" s="12"/>
      <c r="K86" s="8"/>
      <c r="L86" s="45">
        <v>0</v>
      </c>
      <c r="M86" s="38"/>
      <c r="N86" s="38"/>
      <c r="O86" s="2"/>
    </row>
    <row r="87" spans="2:15">
      <c r="B87" s="76">
        <f t="shared" si="4"/>
        <v>44</v>
      </c>
      <c r="C87" s="77"/>
      <c r="D87" s="16" t="s">
        <v>368</v>
      </c>
      <c r="E87" s="8" t="str">
        <f>"(Worksheet C, ln "&amp;'SWEPCO WS C ADIT &amp; ADITC'!A22&amp;" C &amp; ln "&amp;'SWEPCO WS C ADIT &amp; ADITC'!A26&amp;" J)"</f>
        <v>(Worksheet C, ln 4 C &amp; ln 8 J)</v>
      </c>
      <c r="F87" s="259"/>
      <c r="G87" s="45">
        <f>'SWEPCO WS C ADIT &amp; ADITC'!D22</f>
        <v>-1393536369.8599997</v>
      </c>
      <c r="H87" s="45"/>
      <c r="I87" s="11" t="s">
        <v>306</v>
      </c>
      <c r="J87" s="12"/>
      <c r="K87" s="8"/>
      <c r="L87" s="45">
        <f>'SWEPCO WS C ADIT &amp; ADITC'!J26</f>
        <v>-271551823.72093999</v>
      </c>
      <c r="M87" s="38"/>
      <c r="N87" s="38"/>
      <c r="O87" s="2"/>
    </row>
    <row r="88" spans="2:15">
      <c r="B88" s="76">
        <f t="shared" si="4"/>
        <v>45</v>
      </c>
      <c r="C88" s="77"/>
      <c r="D88" s="16" t="s">
        <v>369</v>
      </c>
      <c r="E88" s="8" t="str">
        <f>"(Worksheet C, ln "&amp;'SWEPCO WS C ADIT &amp; ADITC'!A35&amp;" C &amp; ln "&amp;'SWEPCO WS C ADIT &amp; ADITC'!A37&amp;" J)"</f>
        <v>(Worksheet C, ln 12 C &amp; ln 14 J)</v>
      </c>
      <c r="F88" s="259"/>
      <c r="G88" s="45">
        <f>'SWEPCO WS C ADIT &amp; ADITC'!D35</f>
        <v>-34869314.669999987</v>
      </c>
      <c r="H88" s="45"/>
      <c r="I88" s="11" t="s">
        <v>306</v>
      </c>
      <c r="J88" s="12"/>
      <c r="K88" s="8"/>
      <c r="L88" s="45">
        <f>'SWEPCO WS C ADIT &amp; ADITC'!J37</f>
        <v>-1331581.852944646</v>
      </c>
      <c r="M88" s="38"/>
      <c r="N88" s="38"/>
      <c r="O88" s="2"/>
    </row>
    <row r="89" spans="2:15">
      <c r="B89" s="76">
        <f t="shared" si="4"/>
        <v>46</v>
      </c>
      <c r="C89" s="77"/>
      <c r="D89" s="16" t="s">
        <v>370</v>
      </c>
      <c r="E89" s="8" t="str">
        <f>"(Worksheet C, ln "&amp;'SWEPCO WS C ADIT &amp; ADITC'!A47&amp;" C &amp; ln "&amp;'SWEPCO WS C ADIT &amp; ADITC'!A51&amp;" J)"</f>
        <v>(Worksheet C, ln 18 C &amp; ln 22 J)</v>
      </c>
      <c r="F89" s="259"/>
      <c r="G89" s="45">
        <f>+'SWEPCO WS C ADIT &amp; ADITC'!D47</f>
        <v>113842055.69999999</v>
      </c>
      <c r="H89" s="45"/>
      <c r="I89" s="11" t="s">
        <v>306</v>
      </c>
      <c r="J89" s="12"/>
      <c r="K89" s="8"/>
      <c r="L89" s="45">
        <f>+'SWEPCO WS C ADIT &amp; ADITC'!J51</f>
        <v>1346704.5074967667</v>
      </c>
      <c r="M89" s="38"/>
      <c r="N89" s="38"/>
      <c r="O89" s="2"/>
    </row>
    <row r="90" spans="2:15" ht="15.75" thickBot="1">
      <c r="B90" s="76">
        <f t="shared" si="4"/>
        <v>47</v>
      </c>
      <c r="C90" s="77"/>
      <c r="D90" s="22" t="s">
        <v>311</v>
      </c>
      <c r="E90" s="8" t="str">
        <f>"(Worksheet C, ln "&amp;'SWEPCO WS C ADIT &amp; ADITC'!A61&amp;" C &amp; ln "&amp;'SWEPCO WS C ADIT &amp; ADITC'!A63&amp;" J)"</f>
        <v>(Worksheet C, ln 26 C &amp; ln 28 J)</v>
      </c>
      <c r="F90" s="371"/>
      <c r="G90" s="46">
        <f>'SWEPCO WS C ADIT &amp; ADITC'!D61</f>
        <v>0</v>
      </c>
      <c r="H90" s="45"/>
      <c r="I90" s="11" t="s">
        <v>306</v>
      </c>
      <c r="J90" s="12"/>
      <c r="K90" s="8"/>
      <c r="L90" s="46">
        <f>'SWEPCO WS C ADIT &amp; ADITC'!J63</f>
        <v>0</v>
      </c>
      <c r="M90" s="38"/>
      <c r="N90" s="38"/>
      <c r="O90" s="2"/>
    </row>
    <row r="91" spans="2:15">
      <c r="B91" s="76">
        <f t="shared" si="4"/>
        <v>48</v>
      </c>
      <c r="C91" s="77"/>
      <c r="D91" s="16" t="s">
        <v>274</v>
      </c>
      <c r="E91" s="16" t="str">
        <f>"(sum lns "&amp;B86&amp;" to "&amp;B90&amp;")"</f>
        <v>(sum lns 43 to 47)</v>
      </c>
      <c r="F91" s="8"/>
      <c r="G91" s="45">
        <f>SUM(G86:G90)</f>
        <v>-1314563628.8299997</v>
      </c>
      <c r="H91" s="38"/>
      <c r="I91" s="11"/>
      <c r="J91" s="1299"/>
      <c r="K91" s="8"/>
      <c r="L91" s="45">
        <f>SUM(L86:L90)</f>
        <v>-271536701.06638789</v>
      </c>
      <c r="M91" s="38"/>
      <c r="N91" s="38"/>
    </row>
    <row r="92" spans="2:15">
      <c r="B92" s="35"/>
      <c r="C92" s="30"/>
      <c r="D92" s="16"/>
      <c r="E92" s="8"/>
      <c r="F92" s="8"/>
      <c r="G92" s="45"/>
      <c r="H92" s="38"/>
      <c r="I92" s="11"/>
      <c r="J92" s="128"/>
      <c r="K92" s="8"/>
      <c r="L92" s="45"/>
      <c r="M92" s="38"/>
      <c r="N92" s="38"/>
    </row>
    <row r="93" spans="2:15">
      <c r="B93" s="35">
        <f>+B91+1</f>
        <v>49</v>
      </c>
      <c r="C93" s="30"/>
      <c r="D93" s="16" t="s">
        <v>381</v>
      </c>
      <c r="E93" s="8" t="str">
        <f>"(Worksheet A ln "&amp;'SWEPCO WS A RB Support '!A99&amp;".E &amp; "&amp;'SWEPCO WS A RB Support '!A101&amp;".E)"</f>
        <v>(Worksheet A ln 48.E &amp; 49.E)</v>
      </c>
      <c r="F93" s="8"/>
      <c r="G93" s="45">
        <f>+'SWEPCO WS A RB Support '!G99</f>
        <v>1066805</v>
      </c>
      <c r="H93" s="38"/>
      <c r="I93" s="11" t="s">
        <v>306</v>
      </c>
      <c r="J93" s="12"/>
      <c r="K93" s="8"/>
      <c r="L93" s="45">
        <f>+'SWEPCO WS A RB Support '!G101</f>
        <v>0</v>
      </c>
      <c r="M93" s="38"/>
      <c r="N93" s="38"/>
    </row>
    <row r="94" spans="2:15">
      <c r="B94" s="35"/>
      <c r="C94" s="30"/>
      <c r="D94" s="16"/>
      <c r="E94" s="8"/>
      <c r="F94" s="8"/>
      <c r="G94" s="45"/>
      <c r="H94" s="38"/>
      <c r="I94" s="11"/>
      <c r="J94" s="12"/>
      <c r="K94" s="8"/>
      <c r="L94" s="45"/>
      <c r="M94" s="38"/>
      <c r="N94" s="38"/>
    </row>
    <row r="95" spans="2:15">
      <c r="B95" s="35">
        <f>+B93+1</f>
        <v>50</v>
      </c>
      <c r="C95" s="30"/>
      <c r="D95" s="16" t="s">
        <v>1109</v>
      </c>
      <c r="E95" s="8" t="str">
        <f>"(Worksheet A ln "&amp;'SWEPCO WS A RB Support '!A112&amp;".E)"</f>
        <v>(Worksheet A ln 55.E)</v>
      </c>
      <c r="F95" s="8"/>
      <c r="G95" s="45">
        <f>+'SWEPCO WS A RB Support '!G112</f>
        <v>0</v>
      </c>
      <c r="H95" s="38"/>
      <c r="I95" s="11" t="s">
        <v>306</v>
      </c>
      <c r="J95" s="12"/>
      <c r="K95" s="8"/>
      <c r="L95" s="45">
        <f>+G95</f>
        <v>0</v>
      </c>
      <c r="M95" s="38"/>
      <c r="N95" s="38"/>
    </row>
    <row r="96" spans="2:15">
      <c r="B96" s="35"/>
      <c r="C96" s="30"/>
      <c r="D96" s="16"/>
      <c r="E96" s="8"/>
      <c r="F96" s="8"/>
      <c r="G96" s="45"/>
      <c r="H96" s="38"/>
      <c r="I96" s="11"/>
      <c r="J96" s="12"/>
      <c r="K96" s="8"/>
      <c r="L96" s="45"/>
      <c r="M96" s="38"/>
      <c r="N96" s="38"/>
    </row>
    <row r="97" spans="2:14">
      <c r="B97" s="35">
        <f>+B95+1</f>
        <v>51</v>
      </c>
      <c r="C97" s="30"/>
      <c r="D97" s="16" t="s">
        <v>275</v>
      </c>
      <c r="E97" s="8" t="s">
        <v>169</v>
      </c>
      <c r="F97" s="8"/>
      <c r="G97" s="45"/>
      <c r="H97" s="38"/>
      <c r="I97" s="11"/>
      <c r="J97" s="8"/>
      <c r="K97" s="8"/>
      <c r="L97" s="45"/>
      <c r="M97" s="38"/>
      <c r="N97" s="38"/>
    </row>
    <row r="98" spans="2:14">
      <c r="B98" s="76">
        <f t="shared" ref="B98:B106" si="5">+B97+1</f>
        <v>52</v>
      </c>
      <c r="C98" s="77"/>
      <c r="D98" s="16" t="s">
        <v>380</v>
      </c>
      <c r="E98" s="5" t="str">
        <f>"(1/8 * ln "&amp;B130&amp;") (Note G)"</f>
        <v>(1/8 * ln 68) (Note G)</v>
      </c>
      <c r="F98" s="5"/>
      <c r="G98" s="45">
        <f>+G130/8</f>
        <v>2694431.0754942875</v>
      </c>
      <c r="H98" s="8"/>
      <c r="I98" s="11"/>
      <c r="J98" s="128"/>
      <c r="K98" s="8"/>
      <c r="L98" s="45">
        <f>+L130/8</f>
        <v>2569044.0803524652</v>
      </c>
      <c r="M98" s="38"/>
      <c r="N98" s="38"/>
    </row>
    <row r="99" spans="2:14">
      <c r="B99" s="76">
        <f t="shared" si="5"/>
        <v>53</v>
      </c>
      <c r="C99" s="77"/>
      <c r="D99" s="16" t="s">
        <v>452</v>
      </c>
      <c r="E99" s="8" t="str">
        <f>"(Worksheet D, ln "&amp;'SWEPCO WS D Working Capital'!A17&amp;" F)"</f>
        <v>(Worksheet D, ln 3 F)</v>
      </c>
      <c r="F99" s="259"/>
      <c r="G99" s="45">
        <f>+'SWEPCO WS D Working Capital'!I17</f>
        <v>107954</v>
      </c>
      <c r="H99" s="38"/>
      <c r="I99" s="11" t="s">
        <v>297</v>
      </c>
      <c r="J99" s="12">
        <f>+$L$207</f>
        <v>0.95346438946528977</v>
      </c>
      <c r="K99" s="8"/>
      <c r="L99" s="45">
        <f>+J99*G99</f>
        <v>102930.29470033589</v>
      </c>
      <c r="M99" s="38"/>
      <c r="N99" s="38"/>
    </row>
    <row r="100" spans="2:14">
      <c r="B100" s="76">
        <f t="shared" si="5"/>
        <v>54</v>
      </c>
      <c r="C100" s="77"/>
      <c r="D100" s="16" t="s">
        <v>453</v>
      </c>
      <c r="E100" s="8" t="str">
        <f>"(Worksheet D, ln "&amp;'SWEPCO WS D Working Capital'!A19&amp;" F)"</f>
        <v>(Worksheet D, ln 4 F)</v>
      </c>
      <c r="F100" s="259"/>
      <c r="G100" s="45">
        <f>+'SWEPCO WS D Working Capital'!I19</f>
        <v>77735</v>
      </c>
      <c r="H100" s="38"/>
      <c r="I100" s="11" t="s">
        <v>309</v>
      </c>
      <c r="J100" s="12">
        <f>+$L$217</f>
        <v>7.2207695261754939E-2</v>
      </c>
      <c r="K100" s="8"/>
      <c r="L100" s="45">
        <f>+J100*G100</f>
        <v>5613.0651911725199</v>
      </c>
      <c r="M100" s="38"/>
      <c r="N100" s="38"/>
    </row>
    <row r="101" spans="2:14">
      <c r="B101" s="76">
        <f t="shared" si="5"/>
        <v>55</v>
      </c>
      <c r="C101" s="77"/>
      <c r="D101" s="16" t="s">
        <v>230</v>
      </c>
      <c r="E101" s="8" t="str">
        <f>"(Worksheet D, ln "&amp;'SWEPCO WS D Working Capital'!A21&amp;" F)"</f>
        <v>(Worksheet D, ln 5 F)</v>
      </c>
      <c r="F101" s="259"/>
      <c r="G101" s="45">
        <f>+'SWEPCO WS D Working Capital'!I21</f>
        <v>0</v>
      </c>
      <c r="H101" s="38"/>
      <c r="I101" s="79" t="s">
        <v>1102</v>
      </c>
      <c r="J101" s="12">
        <f>+$J$62</f>
        <v>0.20055515085854517</v>
      </c>
      <c r="K101" s="8"/>
      <c r="L101" s="45">
        <f>+J101*G101</f>
        <v>0</v>
      </c>
      <c r="M101" s="38"/>
      <c r="N101" s="38"/>
    </row>
    <row r="102" spans="2:14">
      <c r="B102" s="76">
        <f t="shared" si="5"/>
        <v>56</v>
      </c>
      <c r="C102" s="77"/>
      <c r="D102" s="16" t="s">
        <v>394</v>
      </c>
      <c r="E102" s="8" t="str">
        <f>"(Worksheet D, ln "&amp;'SWEPCO WS D Working Capital'!A31&amp;" G)"</f>
        <v>(Worksheet D, ln 8 G)</v>
      </c>
      <c r="F102" s="259"/>
      <c r="G102" s="45">
        <f>+'SWEPCO WS D Working Capital'!J31</f>
        <v>97010416</v>
      </c>
      <c r="H102" s="38"/>
      <c r="I102" s="11" t="s">
        <v>309</v>
      </c>
      <c r="J102" s="12">
        <f>+$L$217</f>
        <v>7.2207695261754939E-2</v>
      </c>
      <c r="K102" s="8"/>
      <c r="L102" s="45">
        <f>+J102*G102</f>
        <v>7004898.5557440752</v>
      </c>
      <c r="M102" s="38"/>
      <c r="N102" s="38"/>
    </row>
    <row r="103" spans="2:14">
      <c r="B103" s="76">
        <f t="shared" si="5"/>
        <v>57</v>
      </c>
      <c r="C103" s="77"/>
      <c r="D103" s="16" t="s">
        <v>395</v>
      </c>
      <c r="E103" s="8" t="str">
        <f>"(Worksheet D, ln "&amp;'SWEPCO WS D Working Capital'!A31&amp;" F)"</f>
        <v>(Worksheet D, ln 8 F)</v>
      </c>
      <c r="F103" s="259"/>
      <c r="G103" s="45">
        <f>+'SWEPCO WS D Working Capital'!I31</f>
        <v>1781959</v>
      </c>
      <c r="H103" s="38"/>
      <c r="I103" s="79" t="s">
        <v>1102</v>
      </c>
      <c r="J103" s="12">
        <f>+$J$62</f>
        <v>0.20055515085854517</v>
      </c>
      <c r="K103" s="8"/>
      <c r="L103" s="45">
        <f>+G103*J103</f>
        <v>357381.0560687423</v>
      </c>
      <c r="M103" s="38"/>
      <c r="N103" s="38"/>
    </row>
    <row r="104" spans="2:14">
      <c r="B104" s="76">
        <f t="shared" si="5"/>
        <v>58</v>
      </c>
      <c r="C104" s="77"/>
      <c r="D104" s="16" t="s">
        <v>438</v>
      </c>
      <c r="E104" s="8" t="str">
        <f>"(Worksheet D, ln "&amp;'SWEPCO WS D Working Capital'!A31&amp;" E)"</f>
        <v>(Worksheet D, ln 8 E)</v>
      </c>
      <c r="F104" s="259"/>
      <c r="G104" s="45">
        <f>+'SWEPCO WS D Working Capital'!G31</f>
        <v>0</v>
      </c>
      <c r="H104" s="38"/>
      <c r="I104" s="11" t="s">
        <v>306</v>
      </c>
      <c r="J104" s="12">
        <v>1</v>
      </c>
      <c r="K104" s="8"/>
      <c r="L104" s="45">
        <f>+G104</f>
        <v>0</v>
      </c>
      <c r="M104" s="38"/>
      <c r="N104" s="38"/>
    </row>
    <row r="105" spans="2:14" ht="15.75" thickBot="1">
      <c r="B105" s="76">
        <f t="shared" si="5"/>
        <v>59</v>
      </c>
      <c r="C105" s="77"/>
      <c r="D105" s="16" t="s">
        <v>282</v>
      </c>
      <c r="E105" s="8" t="str">
        <f>"(Worksheet D, ln "&amp;'SWEPCO WS D Working Capital'!A31&amp;" D)"</f>
        <v>(Worksheet D, ln 8 D)</v>
      </c>
      <c r="F105" s="259"/>
      <c r="G105" s="46">
        <f>+'SWEPCO WS D Working Capital'!E31</f>
        <v>-69374032</v>
      </c>
      <c r="H105" s="45"/>
      <c r="I105" s="11" t="s">
        <v>304</v>
      </c>
      <c r="J105" s="12">
        <v>0</v>
      </c>
      <c r="K105" s="8"/>
      <c r="L105" s="46">
        <f>+G105*J105</f>
        <v>0</v>
      </c>
      <c r="M105" s="38"/>
      <c r="N105" s="38"/>
    </row>
    <row r="106" spans="2:14">
      <c r="B106" s="76">
        <f t="shared" si="5"/>
        <v>60</v>
      </c>
      <c r="C106" s="77"/>
      <c r="D106" s="16" t="s">
        <v>259</v>
      </c>
      <c r="E106" s="16" t="str">
        <f>"(sum lns "&amp;B98&amp;" to "&amp;B105&amp;")"</f>
        <v>(sum lns 52 to 59)</v>
      </c>
      <c r="F106" s="7"/>
      <c r="G106" s="45">
        <f>SUM(G98:G105)</f>
        <v>32298463.075494289</v>
      </c>
      <c r="H106" s="7"/>
      <c r="I106" s="30"/>
      <c r="J106" s="7"/>
      <c r="K106" s="7"/>
      <c r="L106" s="45">
        <f>SUM(L98:L105)</f>
        <v>10039867.052056791</v>
      </c>
      <c r="M106" s="38"/>
      <c r="N106" s="38"/>
    </row>
    <row r="107" spans="2:14">
      <c r="B107" s="35"/>
      <c r="C107" s="30"/>
      <c r="D107" s="16"/>
      <c r="E107" s="7"/>
      <c r="F107" s="7"/>
      <c r="G107" s="45"/>
      <c r="H107" s="7"/>
      <c r="I107" s="30"/>
      <c r="J107" s="7"/>
      <c r="K107" s="7"/>
      <c r="L107" s="45"/>
      <c r="M107" s="38"/>
      <c r="N107" s="38"/>
    </row>
    <row r="108" spans="2:14">
      <c r="B108" s="35">
        <f>+B106+1</f>
        <v>61</v>
      </c>
      <c r="C108" s="30"/>
      <c r="D108" s="16" t="s">
        <v>248</v>
      </c>
      <c r="E108" s="14" t="str">
        <f>"(Note H) (Worksheet E, ln "&amp;'SWEPCO WS E IPP Credits'!A21&amp;" B)"</f>
        <v>(Note H) (Worksheet E, ln 8 B)</v>
      </c>
      <c r="F108" s="7"/>
      <c r="G108" s="45">
        <f>IF(G62=0,0,-'SWEPCO WS E IPP Credits'!C21)</f>
        <v>-25206735</v>
      </c>
      <c r="H108" s="7"/>
      <c r="I108" s="175" t="s">
        <v>306</v>
      </c>
      <c r="J108" s="12">
        <v>1</v>
      </c>
      <c r="K108" s="8"/>
      <c r="L108" s="45">
        <f>+J108*G108</f>
        <v>-25206735</v>
      </c>
      <c r="M108" s="38"/>
      <c r="N108" s="38"/>
    </row>
    <row r="109" spans="2:14" ht="15.75" thickBot="1">
      <c r="B109" s="37"/>
      <c r="C109" s="5"/>
      <c r="D109" s="22"/>
      <c r="E109" s="8"/>
      <c r="F109" s="8"/>
      <c r="G109" s="46"/>
      <c r="H109" s="8"/>
      <c r="I109" s="11"/>
      <c r="J109" s="8"/>
      <c r="K109" s="8"/>
      <c r="L109" s="46"/>
      <c r="M109" s="38"/>
      <c r="N109" s="38"/>
    </row>
    <row r="110" spans="2:14" ht="15.75" thickBot="1">
      <c r="B110" s="35">
        <f>+B108+1</f>
        <v>62</v>
      </c>
      <c r="C110" s="30"/>
      <c r="D110" s="14" t="str">
        <f>"RATE BASE  (sum lns "&amp;B82&amp;", "&amp;B91&amp;", "&amp;B93&amp;", "&amp;B106&amp;", "&amp;B108&amp;")"</f>
        <v>RATE BASE  (sum lns 41, 48, 49, 60, 61)</v>
      </c>
      <c r="E110" s="8"/>
      <c r="F110" s="8"/>
      <c r="G110" s="477">
        <f>+G106+G93+G91+G82+G108</f>
        <v>4873822455.4457664</v>
      </c>
      <c r="H110" s="8"/>
      <c r="I110" s="8"/>
      <c r="J110" s="128"/>
      <c r="K110" s="8"/>
      <c r="L110" s="477">
        <f>+L106+L93+L91+L82+L108</f>
        <v>1050959618.4625351</v>
      </c>
      <c r="M110" s="38"/>
      <c r="N110" s="38"/>
    </row>
    <row r="111" spans="2:14" ht="16.5" thickTop="1">
      <c r="B111" s="35"/>
      <c r="C111" s="38"/>
      <c r="D111" s="38"/>
      <c r="E111" s="38"/>
      <c r="F111" s="38"/>
      <c r="G111" s="38"/>
      <c r="H111" s="38"/>
      <c r="I111" s="4"/>
      <c r="J111" s="4"/>
      <c r="K111" s="4"/>
      <c r="L111" s="5"/>
      <c r="M111" s="38"/>
      <c r="N111" s="38"/>
    </row>
    <row r="112" spans="2:14">
      <c r="B112" s="35"/>
      <c r="C112" s="30"/>
      <c r="D112" s="14"/>
      <c r="E112" s="8"/>
      <c r="F112" s="8"/>
      <c r="G112" s="8"/>
      <c r="H112" s="8"/>
      <c r="I112" s="8"/>
      <c r="J112" s="8"/>
      <c r="K112" s="8"/>
      <c r="L112" s="8"/>
      <c r="M112" s="38"/>
      <c r="N112" s="38"/>
    </row>
    <row r="113" spans="1:15">
      <c r="B113" s="35"/>
      <c r="C113" s="30"/>
      <c r="D113" s="14"/>
      <c r="E113" s="8"/>
      <c r="F113" s="11" t="str">
        <f>F41</f>
        <v xml:space="preserve">AEP West SPP Member Operating Companies </v>
      </c>
      <c r="G113" s="11"/>
      <c r="H113" s="8"/>
      <c r="I113" s="8"/>
      <c r="J113" s="8"/>
      <c r="K113" s="8"/>
      <c r="L113" s="8"/>
      <c r="M113" s="38"/>
      <c r="N113" s="38"/>
    </row>
    <row r="114" spans="1:15">
      <c r="B114" s="35"/>
      <c r="C114" s="30"/>
      <c r="D114" s="14"/>
      <c r="E114" s="8"/>
      <c r="F114" s="11" t="str">
        <f>F42</f>
        <v>Transmission Cost of Service Formula Rate</v>
      </c>
      <c r="G114" s="11"/>
      <c r="H114" s="8"/>
      <c r="I114" s="8"/>
      <c r="J114" s="8"/>
      <c r="K114" s="8"/>
      <c r="L114" s="8"/>
      <c r="M114" s="38"/>
      <c r="N114" s="38"/>
    </row>
    <row r="115" spans="1:15">
      <c r="B115" s="35"/>
      <c r="C115" s="30"/>
      <c r="D115" s="5"/>
      <c r="E115" s="8"/>
      <c r="F115" s="11" t="str">
        <f>F43</f>
        <v>Utilizing Actual / Projected Cost Data for the 2019 Rate Year</v>
      </c>
      <c r="G115" s="8"/>
      <c r="H115" s="8"/>
      <c r="I115" s="8"/>
      <c r="J115" s="8"/>
      <c r="K115" s="8"/>
      <c r="L115" s="8"/>
      <c r="M115" s="38"/>
      <c r="N115" s="38"/>
    </row>
    <row r="116" spans="1:15">
      <c r="B116" s="35"/>
      <c r="C116" s="30"/>
      <c r="D116" s="5"/>
      <c r="E116" s="8"/>
      <c r="F116" s="11"/>
      <c r="G116" s="8"/>
      <c r="H116" s="8"/>
      <c r="I116" s="8"/>
      <c r="J116" s="8"/>
      <c r="K116" s="8"/>
      <c r="L116" s="8"/>
      <c r="M116" s="38"/>
      <c r="N116" s="38"/>
    </row>
    <row r="117" spans="1:15">
      <c r="B117" s="35"/>
      <c r="C117" s="30"/>
      <c r="D117" s="5"/>
      <c r="E117" s="32"/>
      <c r="F117" s="11" t="str">
        <f>F45</f>
        <v>SOUTHWESTERN ELECTRIC POWER COMPANY</v>
      </c>
      <c r="G117" s="32"/>
      <c r="H117" s="32"/>
      <c r="I117" s="32"/>
      <c r="J117" s="32"/>
      <c r="K117" s="32"/>
      <c r="L117" s="5"/>
      <c r="M117" s="38"/>
      <c r="N117" s="38"/>
    </row>
    <row r="118" spans="1:15">
      <c r="B118" s="35"/>
      <c r="C118" s="30"/>
      <c r="D118" s="5"/>
      <c r="E118" s="32"/>
      <c r="F118" s="11"/>
      <c r="G118" s="32"/>
      <c r="H118" s="32"/>
      <c r="I118" s="32"/>
      <c r="J118" s="32"/>
      <c r="K118" s="32"/>
      <c r="L118" s="5"/>
      <c r="M118" s="38"/>
      <c r="N118" s="38"/>
    </row>
    <row r="119" spans="1:15">
      <c r="B119" s="37"/>
      <c r="C119" s="5"/>
      <c r="D119" s="30" t="s">
        <v>298</v>
      </c>
      <c r="E119" s="30" t="s">
        <v>299</v>
      </c>
      <c r="F119" s="30"/>
      <c r="G119" s="30" t="s">
        <v>300</v>
      </c>
      <c r="H119" s="8"/>
      <c r="I119" s="1541" t="s">
        <v>301</v>
      </c>
      <c r="J119" s="1542"/>
      <c r="K119" s="8"/>
      <c r="L119" s="379" t="s">
        <v>302</v>
      </c>
      <c r="M119" s="38"/>
      <c r="N119" s="38"/>
    </row>
    <row r="120" spans="1:15" ht="15.75">
      <c r="B120" s="15"/>
      <c r="C120" s="5"/>
      <c r="D120" s="30"/>
      <c r="E120" s="30"/>
      <c r="F120" s="30"/>
      <c r="G120" s="30"/>
      <c r="H120" s="8"/>
      <c r="I120" s="8"/>
      <c r="J120" s="470"/>
      <c r="K120" s="8"/>
      <c r="L120" s="5"/>
      <c r="M120" s="38"/>
      <c r="N120" s="38"/>
      <c r="O120" s="328"/>
    </row>
    <row r="121" spans="1:15" ht="15.75">
      <c r="B121" s="76"/>
      <c r="C121" s="30"/>
      <c r="D121" s="380" t="s">
        <v>278</v>
      </c>
      <c r="E121" s="471" t="str">
        <f>E49</f>
        <v>Data Sources</v>
      </c>
      <c r="F121" s="472"/>
      <c r="G121" s="8"/>
      <c r="H121" s="8"/>
      <c r="I121" s="8"/>
      <c r="J121" s="30"/>
      <c r="K121" s="8"/>
      <c r="L121" s="471" t="str">
        <f>L49</f>
        <v>Total</v>
      </c>
      <c r="M121" s="38"/>
      <c r="N121" s="38"/>
      <c r="O121" s="328"/>
    </row>
    <row r="122" spans="1:15" ht="15.75">
      <c r="B122" s="15"/>
      <c r="C122" s="25"/>
      <c r="D122" s="473" t="s">
        <v>279</v>
      </c>
      <c r="E122" s="337" t="str">
        <f>E50</f>
        <v>(See "General Notes")</v>
      </c>
      <c r="F122" s="8"/>
      <c r="G122" s="337" t="str">
        <f>G50</f>
        <v>TO Total</v>
      </c>
      <c r="H122" s="121"/>
      <c r="I122" s="1539" t="str">
        <f>I50</f>
        <v>Allocator</v>
      </c>
      <c r="J122" s="1540"/>
      <c r="K122" s="121"/>
      <c r="L122" s="337" t="str">
        <f>L50</f>
        <v>Transmission</v>
      </c>
      <c r="M122" s="38"/>
      <c r="N122" s="38"/>
      <c r="O122" s="328"/>
    </row>
    <row r="123" spans="1:15" ht="15.75">
      <c r="B123" s="36" t="str">
        <f>B51</f>
        <v>Line</v>
      </c>
      <c r="C123" s="5"/>
      <c r="D123" s="14"/>
      <c r="E123" s="8"/>
      <c r="F123" s="8"/>
      <c r="G123" s="473"/>
      <c r="H123" s="116"/>
      <c r="I123" s="380"/>
      <c r="J123" s="5"/>
      <c r="K123" s="116"/>
      <c r="L123" s="473"/>
      <c r="M123" s="38"/>
      <c r="N123" s="38"/>
    </row>
    <row r="124" spans="1:15" ht="15.75" thickBot="1">
      <c r="B124" s="381" t="str">
        <f>B52</f>
        <v>No.</v>
      </c>
      <c r="C124" s="30"/>
      <c r="D124" s="14" t="s">
        <v>280</v>
      </c>
      <c r="E124" s="8"/>
      <c r="F124" s="8"/>
      <c r="G124" s="8"/>
      <c r="H124" s="8"/>
      <c r="I124" s="11"/>
      <c r="J124" s="8"/>
      <c r="K124" s="8"/>
      <c r="L124" s="8"/>
      <c r="M124" s="38"/>
      <c r="N124" s="38"/>
    </row>
    <row r="125" spans="1:15">
      <c r="B125" s="254">
        <f>+B110+1</f>
        <v>63</v>
      </c>
      <c r="C125" s="30"/>
      <c r="D125" s="14" t="s">
        <v>312</v>
      </c>
      <c r="E125" s="8" t="s">
        <v>67</v>
      </c>
      <c r="F125" s="8"/>
      <c r="G125" s="727">
        <f>+'[4]Inputs 2019'!$H$16+'[4]Inputs 2019'!$H$17</f>
        <v>140418692.517811</v>
      </c>
      <c r="H125" s="45"/>
      <c r="I125" s="38"/>
      <c r="J125" s="38"/>
      <c r="K125" s="38"/>
      <c r="L125" s="38"/>
      <c r="M125" s="38"/>
      <c r="N125" s="38"/>
      <c r="O125" s="2"/>
    </row>
    <row r="126" spans="1:15">
      <c r="B126" s="254">
        <f>+B125+1</f>
        <v>64</v>
      </c>
      <c r="C126" s="30"/>
      <c r="D126" s="14" t="s">
        <v>1206</v>
      </c>
      <c r="E126" s="8" t="s">
        <v>1208</v>
      </c>
      <c r="F126" s="8"/>
      <c r="G126" s="727">
        <v>0</v>
      </c>
      <c r="H126" s="45"/>
      <c r="I126" s="38"/>
      <c r="J126" s="38"/>
      <c r="K126" s="38"/>
      <c r="L126" s="38"/>
      <c r="M126" s="38"/>
      <c r="N126" s="38"/>
      <c r="O126" s="2"/>
    </row>
    <row r="127" spans="1:15">
      <c r="A127" s="38"/>
      <c r="B127" s="254">
        <f>+B126+1</f>
        <v>65</v>
      </c>
      <c r="C127" s="30"/>
      <c r="D127" s="14" t="s">
        <v>448</v>
      </c>
      <c r="E127" s="8" t="s">
        <v>215</v>
      </c>
      <c r="F127" s="8"/>
      <c r="G127" s="727">
        <f>+'[4]Inputs 2019'!H19</f>
        <v>16866888.965776701</v>
      </c>
      <c r="H127" s="45"/>
      <c r="I127" s="38"/>
      <c r="J127" s="38"/>
      <c r="K127" s="38"/>
      <c r="L127" s="38"/>
      <c r="M127" s="38"/>
      <c r="N127" s="38"/>
      <c r="O127" s="2"/>
    </row>
    <row r="128" spans="1:15">
      <c r="A128" s="38"/>
      <c r="B128" s="254">
        <f>+B127+1</f>
        <v>66</v>
      </c>
      <c r="C128" s="30"/>
      <c r="D128" s="14" t="s">
        <v>243</v>
      </c>
      <c r="E128" s="8" t="s">
        <v>216</v>
      </c>
      <c r="F128" s="8"/>
      <c r="G128" s="727">
        <f>+'[4]Inputs 2019'!H20</f>
        <v>101996354.94808</v>
      </c>
      <c r="H128" s="45"/>
      <c r="I128" s="38"/>
      <c r="J128" s="38"/>
      <c r="K128" s="38"/>
      <c r="L128" s="38"/>
      <c r="M128" s="38"/>
      <c r="N128" s="38"/>
      <c r="O128" s="2"/>
    </row>
    <row r="129" spans="1:15" ht="15.75" thickBot="1">
      <c r="A129" s="38"/>
      <c r="B129" s="254">
        <f>+B128+1</f>
        <v>67</v>
      </c>
      <c r="C129" s="30"/>
      <c r="D129" s="14" t="s">
        <v>1122</v>
      </c>
      <c r="E129" s="8" t="str">
        <f>"Worksheet I ln "&amp;'SWEPCO WS I Exp Adj'!B20&amp;""</f>
        <v>Worksheet I ln 10</v>
      </c>
      <c r="F129" s="8"/>
      <c r="G129" s="203">
        <f>+'SWEPCO WS I Exp Adj'!G20</f>
        <v>0</v>
      </c>
      <c r="H129" s="45"/>
      <c r="I129" s="38"/>
      <c r="J129" s="38"/>
      <c r="K129" s="38"/>
      <c r="L129" s="38"/>
      <c r="M129" s="38"/>
      <c r="N129" s="38"/>
      <c r="O129" s="2"/>
    </row>
    <row r="130" spans="1:15">
      <c r="A130" s="38"/>
      <c r="B130" s="254">
        <f>+B129+1</f>
        <v>68</v>
      </c>
      <c r="C130" s="30"/>
      <c r="D130" s="14" t="s">
        <v>63</v>
      </c>
      <c r="E130" s="8" t="str">
        <f>"(lns "&amp;B125&amp;" - "&amp;B126&amp;"- "&amp;B127&amp;" - "&amp;B128&amp;" + "&amp;B129&amp;")"</f>
        <v>(lns 63 - 64- 65 - 66 + 67)</v>
      </c>
      <c r="F130" s="14"/>
      <c r="G130" s="45">
        <f>+G125-G126-G127-G128+G129</f>
        <v>21555448.6039543</v>
      </c>
      <c r="H130" s="8"/>
      <c r="I130" s="11" t="s">
        <v>297</v>
      </c>
      <c r="J130" s="12">
        <f>+$L$207</f>
        <v>0.95346438946528977</v>
      </c>
      <c r="K130" s="8"/>
      <c r="L130" s="45">
        <f>+J130*G130</f>
        <v>20552352.642819721</v>
      </c>
      <c r="M130" s="38"/>
      <c r="N130" s="38"/>
      <c r="O130" s="2"/>
    </row>
    <row r="131" spans="1:15">
      <c r="A131" s="38"/>
      <c r="B131" s="35"/>
      <c r="C131" s="30"/>
      <c r="D131" s="14"/>
      <c r="E131" s="8"/>
      <c r="F131" s="8"/>
      <c r="G131" s="40"/>
      <c r="H131" s="45"/>
      <c r="I131" s="38"/>
      <c r="J131" s="38"/>
      <c r="K131" s="38"/>
      <c r="L131" s="38"/>
      <c r="M131" s="38"/>
      <c r="N131" s="38"/>
      <c r="O131" s="2"/>
    </row>
    <row r="132" spans="1:15">
      <c r="A132" s="38"/>
      <c r="B132" s="35">
        <f>+B130+1</f>
        <v>69</v>
      </c>
      <c r="C132" s="30"/>
      <c r="D132" s="14" t="s">
        <v>281</v>
      </c>
      <c r="E132" s="8" t="s">
        <v>469</v>
      </c>
      <c r="F132" s="8"/>
      <c r="G132" s="727">
        <f>+'[4]Inputs 2019'!H24</f>
        <v>68059957.425714195</v>
      </c>
      <c r="H132" s="45"/>
      <c r="I132" s="127"/>
      <c r="J132" s="127"/>
      <c r="K132" s="8"/>
      <c r="L132" s="45"/>
      <c r="M132" s="38"/>
      <c r="N132" s="38"/>
      <c r="O132" s="2"/>
    </row>
    <row r="133" spans="1:15">
      <c r="A133" s="38"/>
      <c r="B133" s="35">
        <f t="shared" ref="B133:B139" si="6">+B132+1</f>
        <v>70</v>
      </c>
      <c r="C133" s="30"/>
      <c r="D133" s="14" t="s">
        <v>450</v>
      </c>
      <c r="E133" s="8" t="s">
        <v>68</v>
      </c>
      <c r="F133" s="8"/>
      <c r="G133" s="727">
        <f>+'[4]Inputs 2019'!H25</f>
        <v>2391927.08341059</v>
      </c>
      <c r="H133" s="45"/>
      <c r="I133" s="127"/>
      <c r="J133" s="14"/>
      <c r="K133" s="8"/>
      <c r="L133" s="45"/>
      <c r="M133" s="38"/>
      <c r="N133" s="38"/>
      <c r="O133" s="2"/>
    </row>
    <row r="134" spans="1:15">
      <c r="B134" s="35">
        <f t="shared" si="6"/>
        <v>71</v>
      </c>
      <c r="C134" s="30"/>
      <c r="D134" s="14" t="s">
        <v>449</v>
      </c>
      <c r="E134" s="8" t="s">
        <v>217</v>
      </c>
      <c r="F134" s="8"/>
      <c r="G134" s="45">
        <f>+'SWEPCO WS J Misc Exp'!D30</f>
        <v>428928.07</v>
      </c>
      <c r="H134" s="45"/>
      <c r="I134" s="127"/>
      <c r="J134" s="1090"/>
      <c r="K134" s="8"/>
      <c r="L134" s="45"/>
      <c r="M134" s="38"/>
      <c r="N134" s="38"/>
      <c r="O134" s="2"/>
    </row>
    <row r="135" spans="1:15">
      <c r="B135" s="35">
        <f t="shared" si="6"/>
        <v>72</v>
      </c>
      <c r="C135" s="30"/>
      <c r="D135" s="14" t="s">
        <v>284</v>
      </c>
      <c r="E135" s="8" t="s">
        <v>218</v>
      </c>
      <c r="F135" s="8"/>
      <c r="G135" s="45">
        <f>+'SWEPCO WS J Misc Exp'!D40</f>
        <v>211829.17286937</v>
      </c>
      <c r="H135" s="45"/>
      <c r="I135" s="127"/>
      <c r="J135" s="127"/>
      <c r="K135" s="8"/>
      <c r="L135" s="45"/>
      <c r="M135" s="38"/>
      <c r="N135" s="38"/>
      <c r="O135" s="2"/>
    </row>
    <row r="136" spans="1:15" ht="15.75" thickBot="1">
      <c r="B136" s="35">
        <f t="shared" si="6"/>
        <v>73</v>
      </c>
      <c r="C136" s="30"/>
      <c r="D136" s="14" t="s">
        <v>451</v>
      </c>
      <c r="E136" s="8" t="s">
        <v>219</v>
      </c>
      <c r="F136" s="8"/>
      <c r="G136" s="45">
        <f>+'SWEPCO WS J Misc Exp'!D49</f>
        <v>1139994.1295436099</v>
      </c>
      <c r="H136" s="45"/>
      <c r="I136" s="127"/>
      <c r="J136" s="127"/>
      <c r="K136" s="8"/>
      <c r="L136" s="45"/>
      <c r="M136" s="38"/>
      <c r="N136" s="38"/>
      <c r="O136" s="2"/>
    </row>
    <row r="137" spans="1:15">
      <c r="B137" s="35">
        <f t="shared" si="6"/>
        <v>74</v>
      </c>
      <c r="C137" s="30"/>
      <c r="D137" s="14" t="s">
        <v>285</v>
      </c>
      <c r="E137" s="8" t="str">
        <f>"(ln "&amp;B132&amp;" - sum ln "&amp;B133&amp;"  to ln "&amp;B136&amp;")"</f>
        <v>(ln 69 - sum ln 70  to ln 73)</v>
      </c>
      <c r="F137" s="8"/>
      <c r="G137" s="712">
        <f>G132-SUM(G133:G136)</f>
        <v>63887278.969890624</v>
      </c>
      <c r="H137" s="45"/>
      <c r="I137" s="11" t="s">
        <v>309</v>
      </c>
      <c r="J137" s="12">
        <f>+$L$217</f>
        <v>7.2207695261754939E-2</v>
      </c>
      <c r="K137" s="8"/>
      <c r="L137" s="45">
        <f>+J137*G137</f>
        <v>4613153.1709605874</v>
      </c>
      <c r="M137" s="38"/>
      <c r="N137" s="38"/>
      <c r="O137" s="2"/>
    </row>
    <row r="138" spans="1:15">
      <c r="B138" s="35">
        <f t="shared" si="6"/>
        <v>75</v>
      </c>
      <c r="C138" s="30"/>
      <c r="D138" s="14" t="s">
        <v>371</v>
      </c>
      <c r="E138" s="8" t="str">
        <f>"(ln "&amp;B133&amp;")"</f>
        <v>(ln 70)</v>
      </c>
      <c r="F138" s="8"/>
      <c r="G138" s="45">
        <f>+G133</f>
        <v>2391927.08341059</v>
      </c>
      <c r="H138" s="45"/>
      <c r="I138" s="79" t="s">
        <v>1102</v>
      </c>
      <c r="J138" s="12">
        <f>+$J$62</f>
        <v>0.20055515085854517</v>
      </c>
      <c r="K138" s="8"/>
      <c r="L138" s="45">
        <f>+J138*G138</f>
        <v>479713.2970560508</v>
      </c>
      <c r="M138" s="38"/>
      <c r="N138" s="38"/>
      <c r="O138" s="2"/>
    </row>
    <row r="139" spans="1:15">
      <c r="B139" s="35">
        <f t="shared" si="6"/>
        <v>76</v>
      </c>
      <c r="C139" s="30"/>
      <c r="D139" s="14" t="s">
        <v>408</v>
      </c>
      <c r="E139" s="8" t="str">
        <f>"Worksheet J ln "&amp;'SWEPCO WS J Misc Exp'!A30&amp;".(E) (Note L)"</f>
        <v>Worksheet J ln 16.(E) (Note L)</v>
      </c>
      <c r="F139" s="8"/>
      <c r="G139" s="45">
        <f>+'SWEPCO WS J Misc Exp'!F30</f>
        <v>0</v>
      </c>
      <c r="H139" s="45"/>
      <c r="I139" s="11" t="s">
        <v>297</v>
      </c>
      <c r="J139" s="12">
        <f>+$L$207</f>
        <v>0.95346438946528977</v>
      </c>
      <c r="K139" s="8"/>
      <c r="L139" s="45">
        <f>J139*G139</f>
        <v>0</v>
      </c>
      <c r="M139" s="38"/>
      <c r="N139" s="38"/>
      <c r="O139" s="2"/>
    </row>
    <row r="140" spans="1:15">
      <c r="B140" s="35">
        <f>+B139+1</f>
        <v>77</v>
      </c>
      <c r="C140" s="30"/>
      <c r="D140" s="14" t="s">
        <v>410</v>
      </c>
      <c r="E140" s="8" t="str">
        <f>"Worksheet J ln "&amp;'SWEPCO WS J Misc Exp'!A40&amp;".(E) (Note L)"</f>
        <v>Worksheet J ln 22.(E) (Note L)</v>
      </c>
      <c r="F140" s="8"/>
      <c r="G140" s="49">
        <f>'SWEPCO WS J Misc Exp'!F40</f>
        <v>0</v>
      </c>
      <c r="H140" s="8"/>
      <c r="I140" s="79" t="s">
        <v>1102</v>
      </c>
      <c r="J140" s="12">
        <f>+$J$62</f>
        <v>0.20055515085854517</v>
      </c>
      <c r="K140" s="8"/>
      <c r="L140" s="49">
        <f>+J140*G140</f>
        <v>0</v>
      </c>
      <c r="M140" s="38"/>
      <c r="N140" s="38"/>
      <c r="O140" s="2"/>
    </row>
    <row r="141" spans="1:15" ht="15.75" thickBot="1">
      <c r="B141" s="35">
        <f>+B140+1</f>
        <v>78</v>
      </c>
      <c r="C141" s="30"/>
      <c r="D141" s="14" t="s">
        <v>411</v>
      </c>
      <c r="E141" s="8" t="str">
        <f>"Worksheet J ln "&amp;'SWEPCO WS J Misc Exp'!A49&amp;".(E) (Note L)"</f>
        <v>Worksheet J ln 28.(E) (Note L)</v>
      </c>
      <c r="F141" s="8"/>
      <c r="G141" s="49">
        <f>'SWEPCO WS J Misc Exp'!F49</f>
        <v>0</v>
      </c>
      <c r="H141" s="8"/>
      <c r="I141" s="11" t="s">
        <v>306</v>
      </c>
      <c r="J141" s="12">
        <v>1</v>
      </c>
      <c r="K141" s="8"/>
      <c r="L141" s="49">
        <f>J141*G141</f>
        <v>0</v>
      </c>
      <c r="M141" s="38"/>
      <c r="N141" s="38"/>
      <c r="O141" s="2"/>
    </row>
    <row r="142" spans="1:15">
      <c r="B142" s="35">
        <f>+B141+1</f>
        <v>79</v>
      </c>
      <c r="C142" s="30"/>
      <c r="D142" s="14" t="s">
        <v>286</v>
      </c>
      <c r="E142" s="134" t="str">
        <f>"(sum lns "&amp;B137&amp;" to "&amp;B141&amp;")"</f>
        <v>(sum lns 74 to 78)</v>
      </c>
      <c r="F142" s="8"/>
      <c r="G142" s="712">
        <f>SUM(G137:G141)</f>
        <v>66279206.053301215</v>
      </c>
      <c r="H142" s="45"/>
      <c r="I142" s="11"/>
      <c r="J142" s="127"/>
      <c r="K142" s="8"/>
      <c r="L142" s="712">
        <f>SUM(L137:L141)</f>
        <v>5092866.4680166384</v>
      </c>
      <c r="M142" s="38"/>
      <c r="N142" s="38"/>
      <c r="O142" s="2"/>
    </row>
    <row r="143" spans="1:15" ht="15.75" thickBot="1">
      <c r="B143" s="35"/>
      <c r="C143" s="30"/>
      <c r="D143" s="14"/>
      <c r="E143" s="8"/>
      <c r="F143" s="8"/>
      <c r="G143" s="46"/>
      <c r="H143" s="45"/>
      <c r="I143" s="11"/>
      <c r="J143" s="127"/>
      <c r="K143" s="8"/>
      <c r="L143" s="46"/>
      <c r="M143" s="38"/>
      <c r="N143" s="38"/>
      <c r="O143" s="2"/>
    </row>
    <row r="144" spans="1:15">
      <c r="B144" s="35">
        <f>+B142+1</f>
        <v>80</v>
      </c>
      <c r="C144" s="30"/>
      <c r="D144" s="14" t="s">
        <v>287</v>
      </c>
      <c r="E144" s="8" t="str">
        <f>"(ln "&amp;B130&amp;" + ln "&amp;B142&amp;")"</f>
        <v>(ln 68 + ln 79)</v>
      </c>
      <c r="F144" s="8"/>
      <c r="G144" s="45">
        <f>G130+G142</f>
        <v>87834654.657255515</v>
      </c>
      <c r="H144" s="45"/>
      <c r="I144" s="11"/>
      <c r="J144" s="1089"/>
      <c r="K144" s="8"/>
      <c r="L144" s="45">
        <f>+L142+L130</f>
        <v>25645219.110836361</v>
      </c>
      <c r="M144" s="38"/>
      <c r="N144" s="38"/>
      <c r="O144" s="2"/>
    </row>
    <row r="145" spans="2:15">
      <c r="B145" s="35"/>
      <c r="C145" s="30"/>
      <c r="D145" s="14"/>
      <c r="E145" s="8"/>
      <c r="F145" s="8"/>
      <c r="G145" s="49"/>
      <c r="H145" s="21"/>
      <c r="I145" s="9"/>
      <c r="J145" s="479"/>
      <c r="K145" s="21"/>
      <c r="L145" s="49"/>
      <c r="M145" s="38"/>
      <c r="N145" s="38"/>
      <c r="O145" s="2"/>
    </row>
    <row r="146" spans="2:15">
      <c r="B146" s="35">
        <f>+B144+1</f>
        <v>81</v>
      </c>
      <c r="C146" s="30"/>
      <c r="D146" s="16" t="s">
        <v>290</v>
      </c>
      <c r="E146" s="11"/>
      <c r="F146" s="11"/>
      <c r="G146" s="49"/>
      <c r="H146" s="21"/>
      <c r="I146" s="9"/>
      <c r="J146" s="21"/>
      <c r="K146" s="21"/>
      <c r="L146" s="49"/>
      <c r="M146" s="38"/>
      <c r="N146" s="38"/>
      <c r="O146" s="2"/>
    </row>
    <row r="147" spans="2:15">
      <c r="B147" s="35">
        <f t="shared" ref="B147:B152" si="7">+B146+1</f>
        <v>82</v>
      </c>
      <c r="C147" s="30"/>
      <c r="D147" s="170" t="s">
        <v>305</v>
      </c>
      <c r="E147" s="134" t="s">
        <v>1424</v>
      </c>
      <c r="F147" s="10"/>
      <c r="G147" s="727">
        <f>+'[4]Inputs 2019'!H42</f>
        <v>45165575.882299401</v>
      </c>
      <c r="H147" s="21"/>
      <c r="I147" s="9"/>
      <c r="J147" s="21"/>
      <c r="K147" s="21"/>
      <c r="L147" s="49"/>
      <c r="M147" s="38"/>
      <c r="N147" s="38"/>
      <c r="O147" s="2"/>
    </row>
    <row r="148" spans="2:15" ht="15.75" thickBot="1">
      <c r="B148" s="35">
        <f t="shared" si="7"/>
        <v>83</v>
      </c>
      <c r="C148" s="30"/>
      <c r="D148" s="14" t="s">
        <v>1206</v>
      </c>
      <c r="E148" s="8" t="s">
        <v>1208</v>
      </c>
      <c r="F148" s="8"/>
      <c r="G148" s="727"/>
      <c r="H148"/>
      <c r="I148"/>
      <c r="J148"/>
      <c r="K148"/>
      <c r="L148"/>
      <c r="M148" s="38"/>
      <c r="N148" s="38"/>
      <c r="O148" s="2"/>
    </row>
    <row r="149" spans="2:15">
      <c r="B149" s="35">
        <f t="shared" si="7"/>
        <v>84</v>
      </c>
      <c r="C149" s="30"/>
      <c r="D149" s="170" t="s">
        <v>1209</v>
      </c>
      <c r="E149" s="8" t="str">
        <f>"(ln "&amp;B147&amp;" - ln "&amp;B148&amp;")"</f>
        <v>(ln 82 - ln 83)</v>
      </c>
      <c r="F149" s="10"/>
      <c r="G149" s="712">
        <f>+G147-G148</f>
        <v>45165575.882299401</v>
      </c>
      <c r="H149" s="45"/>
      <c r="I149" s="118" t="s">
        <v>297</v>
      </c>
      <c r="J149" s="12">
        <f>+$L$207</f>
        <v>0.95346438946528977</v>
      </c>
      <c r="K149" s="115"/>
      <c r="L149" s="119">
        <f>+G149*J149</f>
        <v>43063768.233464815</v>
      </c>
      <c r="M149" s="38"/>
      <c r="N149" s="38"/>
      <c r="O149" s="2"/>
    </row>
    <row r="150" spans="2:15">
      <c r="B150" s="35">
        <f t="shared" si="7"/>
        <v>85</v>
      </c>
      <c r="C150" s="30"/>
      <c r="D150" s="16" t="s">
        <v>313</v>
      </c>
      <c r="E150" s="10" t="s">
        <v>1425</v>
      </c>
      <c r="F150" s="8"/>
      <c r="G150" s="727">
        <f>+'[4]Inputs 2019'!H43</f>
        <v>6494132.35125867</v>
      </c>
      <c r="H150" s="45"/>
      <c r="I150" s="11" t="s">
        <v>309</v>
      </c>
      <c r="J150" s="12">
        <f>+$L$217</f>
        <v>7.2207695261754939E-2</v>
      </c>
      <c r="K150" s="8"/>
      <c r="L150" s="45">
        <f>+J150*G150</f>
        <v>468926.32980919012</v>
      </c>
      <c r="M150" s="38"/>
      <c r="N150" s="38"/>
      <c r="O150" s="2"/>
    </row>
    <row r="151" spans="2:15" ht="15.75" thickBot="1">
      <c r="B151" s="35">
        <f t="shared" si="7"/>
        <v>86</v>
      </c>
      <c r="C151" s="30"/>
      <c r="D151" s="16" t="s">
        <v>314</v>
      </c>
      <c r="E151" s="10" t="s">
        <v>1426</v>
      </c>
      <c r="F151" s="8"/>
      <c r="G151" s="727">
        <f>+'[4]Inputs 2019'!H44</f>
        <v>24484115.321249701</v>
      </c>
      <c r="H151" s="45"/>
      <c r="I151" s="11" t="s">
        <v>309</v>
      </c>
      <c r="J151" s="12">
        <f>+$L$217</f>
        <v>7.2207695261754939E-2</v>
      </c>
      <c r="K151" s="8"/>
      <c r="L151" s="46">
        <f>+J151*G151</f>
        <v>1767941.5378704634</v>
      </c>
      <c r="M151" s="38"/>
      <c r="N151" s="38"/>
      <c r="O151" s="2"/>
    </row>
    <row r="152" spans="2:15">
      <c r="B152" s="35">
        <f t="shared" si="7"/>
        <v>87</v>
      </c>
      <c r="C152" s="30"/>
      <c r="D152" s="16" t="s">
        <v>436</v>
      </c>
      <c r="E152" s="134" t="str">
        <f>"(sum lns "&amp;B149&amp;" to "&amp;B151&amp;")"</f>
        <v>(sum lns 84 to 86)</v>
      </c>
      <c r="F152" s="8"/>
      <c r="G152" s="712">
        <f>SUM(G149:G151)</f>
        <v>76143823.554807782</v>
      </c>
      <c r="H152" s="8"/>
      <c r="I152" s="11"/>
      <c r="J152" s="8"/>
      <c r="K152" s="8"/>
      <c r="L152" s="45">
        <f>SUM(L149:L151)</f>
        <v>45300636.10114447</v>
      </c>
      <c r="M152" s="38"/>
      <c r="N152" s="38"/>
      <c r="O152" s="2"/>
    </row>
    <row r="153" spans="2:15">
      <c r="B153" s="35"/>
      <c r="C153" s="30"/>
      <c r="D153" s="16"/>
      <c r="E153" s="134"/>
      <c r="F153" s="8"/>
      <c r="G153" s="45"/>
      <c r="H153" s="8"/>
      <c r="I153" s="11"/>
      <c r="J153" s="8"/>
      <c r="K153" s="8"/>
      <c r="L153" s="45"/>
      <c r="M153" s="38"/>
      <c r="N153" s="38"/>
      <c r="O153" s="2"/>
    </row>
    <row r="154" spans="2:15">
      <c r="B154" s="35">
        <f>+B152+1</f>
        <v>88</v>
      </c>
      <c r="C154" s="30"/>
      <c r="D154" s="16" t="s">
        <v>249</v>
      </c>
      <c r="E154" s="8" t="s">
        <v>468</v>
      </c>
      <c r="F154" s="5"/>
      <c r="G154" s="45"/>
      <c r="H154" s="8"/>
      <c r="I154" s="11"/>
      <c r="J154" s="8"/>
      <c r="K154" s="8"/>
      <c r="L154" s="45"/>
      <c r="M154" s="38"/>
      <c r="N154" s="38"/>
      <c r="O154" s="2"/>
    </row>
    <row r="155" spans="2:15">
      <c r="B155" s="35">
        <f t="shared" ref="B155:B161" si="8">+B154+1</f>
        <v>89</v>
      </c>
      <c r="C155" s="30"/>
      <c r="D155" s="16" t="s">
        <v>315</v>
      </c>
      <c r="E155" s="5"/>
      <c r="F155" s="5"/>
      <c r="G155" s="45"/>
      <c r="H155" s="8"/>
      <c r="I155" s="11"/>
      <c r="J155" s="5"/>
      <c r="K155" s="8"/>
      <c r="L155" s="45"/>
      <c r="M155" s="38"/>
      <c r="N155" s="38"/>
      <c r="O155" s="2"/>
    </row>
    <row r="156" spans="2:15">
      <c r="B156" s="35">
        <f t="shared" si="8"/>
        <v>90</v>
      </c>
      <c r="C156" s="30"/>
      <c r="D156" s="16" t="s">
        <v>316</v>
      </c>
      <c r="E156" s="8" t="s">
        <v>220</v>
      </c>
      <c r="F156" s="8"/>
      <c r="G156" s="45">
        <f>+'SWEPCO WS L Other Taxes'!I53</f>
        <v>7649032.1621606937</v>
      </c>
      <c r="H156" s="45"/>
      <c r="I156" s="11" t="s">
        <v>309</v>
      </c>
      <c r="J156" s="12">
        <f>+$L$217</f>
        <v>7.2207695261754939E-2</v>
      </c>
      <c r="K156" s="8"/>
      <c r="L156" s="45">
        <f>+J156*G156</f>
        <v>552318.98341266182</v>
      </c>
      <c r="M156" s="38"/>
      <c r="N156" s="38"/>
      <c r="O156" s="2"/>
    </row>
    <row r="157" spans="2:15">
      <c r="B157" s="35">
        <f t="shared" si="8"/>
        <v>91</v>
      </c>
      <c r="C157" s="30"/>
      <c r="D157" s="16" t="s">
        <v>317</v>
      </c>
      <c r="E157" s="8" t="s">
        <v>291</v>
      </c>
      <c r="F157" s="8"/>
      <c r="G157" s="45"/>
      <c r="H157" s="45"/>
      <c r="I157" s="11"/>
      <c r="J157" s="5"/>
      <c r="K157" s="8"/>
      <c r="L157" s="45"/>
      <c r="M157" s="38"/>
      <c r="N157" s="38"/>
      <c r="O157" s="2"/>
    </row>
    <row r="158" spans="2:15">
      <c r="B158" s="35">
        <f t="shared" si="8"/>
        <v>92</v>
      </c>
      <c r="C158" s="30"/>
      <c r="D158" s="16" t="s">
        <v>318</v>
      </c>
      <c r="E158" s="8" t="s">
        <v>221</v>
      </c>
      <c r="F158" s="8"/>
      <c r="G158" s="45">
        <f>+'SWEPCO WS L Other Taxes'!G53</f>
        <v>70044369.999999896</v>
      </c>
      <c r="H158" s="45"/>
      <c r="I158" s="11" t="s">
        <v>1102</v>
      </c>
      <c r="J158" s="12">
        <f>+$J$62</f>
        <v>0.20055515085854517</v>
      </c>
      <c r="K158" s="8"/>
      <c r="L158" s="45">
        <f>+G158*J158</f>
        <v>14047759.192141734</v>
      </c>
      <c r="M158" s="38"/>
      <c r="N158" s="38"/>
      <c r="O158" s="2"/>
    </row>
    <row r="159" spans="2:15">
      <c r="B159" s="35">
        <f t="shared" si="8"/>
        <v>93</v>
      </c>
      <c r="C159" s="30"/>
      <c r="D159" s="16" t="s">
        <v>1210</v>
      </c>
      <c r="E159" s="8" t="s">
        <v>222</v>
      </c>
      <c r="F159" s="8"/>
      <c r="G159" s="45">
        <f>+'SWEPCO WS L Other Taxes'!M53</f>
        <v>22990000</v>
      </c>
      <c r="H159" s="38"/>
      <c r="I159" s="11" t="s">
        <v>304</v>
      </c>
      <c r="J159" s="12">
        <v>0</v>
      </c>
      <c r="K159" s="8"/>
      <c r="L159" s="45">
        <f>+J159*G159</f>
        <v>0</v>
      </c>
      <c r="M159" s="38"/>
      <c r="N159" s="38"/>
      <c r="O159" s="2"/>
    </row>
    <row r="160" spans="2:15" ht="15.75" thickBot="1">
      <c r="B160" s="35">
        <f t="shared" si="8"/>
        <v>94</v>
      </c>
      <c r="C160" s="30"/>
      <c r="D160" s="16" t="s">
        <v>355</v>
      </c>
      <c r="E160" s="8" t="s">
        <v>223</v>
      </c>
      <c r="F160" s="8"/>
      <c r="G160" s="46">
        <f>+'SWEPCO WS L Other Taxes'!K53</f>
        <v>7562000</v>
      </c>
      <c r="H160" s="38"/>
      <c r="I160" s="11" t="s">
        <v>1102</v>
      </c>
      <c r="J160" s="12">
        <f>+$J$62</f>
        <v>0.20055515085854517</v>
      </c>
      <c r="K160" s="8"/>
      <c r="L160" s="46">
        <f>+J160*G160</f>
        <v>1516598.0507923185</v>
      </c>
      <c r="M160" s="38"/>
      <c r="N160" s="38"/>
      <c r="O160" s="2"/>
    </row>
    <row r="161" spans="2:15">
      <c r="B161" s="35">
        <f t="shared" si="8"/>
        <v>95</v>
      </c>
      <c r="C161" s="30"/>
      <c r="D161" s="16" t="s">
        <v>250</v>
      </c>
      <c r="E161" s="134" t="str">
        <f>"(sum lns "&amp;B156&amp;" to "&amp;B160&amp;")"</f>
        <v>(sum lns 90 to 94)</v>
      </c>
      <c r="F161" s="8"/>
      <c r="G161" s="45">
        <f>SUM(G156:G160)</f>
        <v>108245402.16216059</v>
      </c>
      <c r="H161" s="8"/>
      <c r="I161" s="11"/>
      <c r="J161" s="277"/>
      <c r="K161" s="8"/>
      <c r="L161" s="45">
        <f>SUM(L156:L160)</f>
        <v>16116676.226346714</v>
      </c>
      <c r="M161" s="38"/>
      <c r="N161" s="38"/>
      <c r="O161" s="2"/>
    </row>
    <row r="162" spans="2:15">
      <c r="B162" s="35"/>
      <c r="C162" s="30"/>
      <c r="D162" s="16"/>
      <c r="E162" s="8"/>
      <c r="F162" s="8"/>
      <c r="G162" s="8"/>
      <c r="H162" s="8"/>
      <c r="I162" s="11"/>
      <c r="J162" s="277"/>
      <c r="K162" s="8"/>
      <c r="L162" s="8"/>
      <c r="M162" s="38"/>
      <c r="N162" s="38"/>
      <c r="O162" s="2"/>
    </row>
    <row r="163" spans="2:15">
      <c r="B163" s="35">
        <f>+B161+1</f>
        <v>96</v>
      </c>
      <c r="C163" s="30"/>
      <c r="D163" s="16" t="s">
        <v>454</v>
      </c>
      <c r="E163" s="8" t="s">
        <v>467</v>
      </c>
      <c r="F163" s="257"/>
      <c r="G163" s="8"/>
      <c r="H163" s="38"/>
      <c r="I163" s="32"/>
      <c r="J163" s="5"/>
      <c r="K163" s="8"/>
      <c r="L163" s="5"/>
      <c r="M163" s="38"/>
      <c r="N163" s="38"/>
      <c r="O163" s="2"/>
    </row>
    <row r="164" spans="2:15">
      <c r="B164" s="35">
        <f t="shared" ref="B164:B171" si="9">+B163+1</f>
        <v>97</v>
      </c>
      <c r="C164" s="30"/>
      <c r="D164" s="17" t="s">
        <v>455</v>
      </c>
      <c r="E164" s="8"/>
      <c r="F164" s="258"/>
      <c r="G164" s="166">
        <f>IF(F295&gt;0,1-(((1-F296)*(1-F295))/(1-F296*F295*F297)),0)</f>
        <v>0.24720900000000001</v>
      </c>
      <c r="H164" s="265"/>
      <c r="I164" s="32"/>
      <c r="J164" s="265"/>
      <c r="K164" s="8"/>
      <c r="L164" s="5"/>
      <c r="M164" s="38"/>
      <c r="N164" s="38"/>
      <c r="O164" s="2"/>
    </row>
    <row r="165" spans="2:15">
      <c r="B165" s="35">
        <f t="shared" si="9"/>
        <v>98</v>
      </c>
      <c r="C165" s="30"/>
      <c r="D165" s="22" t="s">
        <v>456</v>
      </c>
      <c r="E165" s="8"/>
      <c r="F165" s="258"/>
      <c r="G165" s="166">
        <f>IF(L231&gt;0,($G164/(1-$G164))*(1-$L231/$L234),0)</f>
        <v>0.22373769778670485</v>
      </c>
      <c r="H165" s="265"/>
      <c r="I165" s="32"/>
      <c r="J165" s="5"/>
      <c r="K165" s="8"/>
      <c r="L165" s="5"/>
      <c r="M165" s="38"/>
      <c r="N165" s="38"/>
      <c r="O165" s="2"/>
    </row>
    <row r="166" spans="2:15">
      <c r="B166" s="35">
        <f t="shared" si="9"/>
        <v>99</v>
      </c>
      <c r="C166" s="30"/>
      <c r="D166" s="16" t="str">
        <f>"       where WCLTD=(ln "&amp;B231&amp;") and WACC = (ln "&amp;B234&amp;")"</f>
        <v xml:space="preserve">       where WCLTD=(ln 139) and WACC = (ln 142)</v>
      </c>
      <c r="E166" s="8"/>
      <c r="F166" s="257"/>
      <c r="G166" s="8"/>
      <c r="H166" s="38"/>
      <c r="I166" s="32"/>
      <c r="J166" s="480"/>
      <c r="K166" s="8"/>
      <c r="L166" s="481"/>
      <c r="M166" s="38"/>
      <c r="N166" s="38"/>
      <c r="O166" s="2"/>
    </row>
    <row r="167" spans="2:15">
      <c r="B167" s="35">
        <f t="shared" si="9"/>
        <v>100</v>
      </c>
      <c r="C167" s="30"/>
      <c r="D167" s="16" t="s">
        <v>466</v>
      </c>
      <c r="E167" s="275"/>
      <c r="F167" s="258"/>
      <c r="G167" s="8"/>
      <c r="H167" s="38"/>
      <c r="I167" s="32"/>
      <c r="J167" s="480"/>
      <c r="K167" s="8"/>
      <c r="L167" s="5"/>
      <c r="M167" s="38"/>
      <c r="N167" s="38"/>
      <c r="O167" s="2"/>
    </row>
    <row r="168" spans="2:15">
      <c r="B168" s="35">
        <f t="shared" si="9"/>
        <v>101</v>
      </c>
      <c r="C168" s="30"/>
      <c r="D168" s="17" t="str">
        <f>"      GRCF=1 / (1 - T)  = (from ln "&amp;B164&amp;")"</f>
        <v xml:space="preserve">      GRCF=1 / (1 - T)  = (from ln 97)</v>
      </c>
      <c r="E168" s="257"/>
      <c r="F168" s="257"/>
      <c r="G168" s="167">
        <f>IF(G164&gt;0,1/(1-G164),0)</f>
        <v>1.3283899515270507</v>
      </c>
      <c r="H168" s="38"/>
      <c r="I168" s="79"/>
      <c r="J168" s="1091"/>
      <c r="K168" s="45"/>
      <c r="L168" s="1092"/>
      <c r="M168" s="38"/>
      <c r="N168" s="38"/>
      <c r="O168" s="2"/>
    </row>
    <row r="169" spans="2:15">
      <c r="B169" s="35">
        <f t="shared" si="9"/>
        <v>102</v>
      </c>
      <c r="C169" s="30"/>
      <c r="D169" s="16" t="s">
        <v>457</v>
      </c>
      <c r="E169" s="127" t="s">
        <v>211</v>
      </c>
      <c r="F169" s="257"/>
      <c r="G169" s="727">
        <f>+'[4]Inputs 2019'!H57</f>
        <v>-918821.99999999895</v>
      </c>
      <c r="H169" s="38"/>
      <c r="I169" s="79"/>
      <c r="J169" s="483"/>
      <c r="K169" s="45"/>
      <c r="M169" s="38"/>
      <c r="N169" s="38"/>
      <c r="O169" s="2"/>
    </row>
    <row r="170" spans="2:15">
      <c r="B170" s="35">
        <f t="shared" si="9"/>
        <v>103</v>
      </c>
      <c r="C170" s="30"/>
      <c r="D170" s="13" t="s">
        <v>556</v>
      </c>
      <c r="E170" s="127" t="s">
        <v>1423</v>
      </c>
      <c r="F170" s="257"/>
      <c r="G170" s="727">
        <f>+'[4]Inputs 2019'!$H$58</f>
        <v>-46392385</v>
      </c>
      <c r="H170" s="38"/>
      <c r="I170" s="79" t="s">
        <v>306</v>
      </c>
      <c r="J170" s="483"/>
      <c r="K170" s="728"/>
      <c r="L170" s="727">
        <f>+'[4]Inputs 2019'!$I$58</f>
        <v>-5175768</v>
      </c>
      <c r="M170" s="38"/>
      <c r="N170" s="38"/>
      <c r="O170" s="2"/>
    </row>
    <row r="171" spans="2:15">
      <c r="B171" s="35">
        <f t="shared" si="9"/>
        <v>104</v>
      </c>
      <c r="C171" s="30"/>
      <c r="D171" s="13" t="s">
        <v>1009</v>
      </c>
      <c r="E171" s="127" t="s">
        <v>1423</v>
      </c>
      <c r="F171" s="257"/>
      <c r="G171" s="727">
        <f>+'[4]Inputs 2019'!$H$59</f>
        <v>1407000</v>
      </c>
      <c r="H171" s="38"/>
      <c r="I171" s="79" t="s">
        <v>306</v>
      </c>
      <c r="J171" s="483"/>
      <c r="K171" s="728"/>
      <c r="L171" s="727">
        <f>+'[4]Inputs 2019'!$I$59</f>
        <v>244440</v>
      </c>
      <c r="M171" s="38"/>
      <c r="N171" s="38"/>
      <c r="O171" s="2"/>
    </row>
    <row r="172" spans="2:15">
      <c r="B172" s="35"/>
      <c r="C172" s="30"/>
      <c r="D172" s="16"/>
      <c r="E172" s="8"/>
      <c r="F172" s="258"/>
      <c r="G172" s="45"/>
      <c r="H172" s="38"/>
      <c r="I172" s="79"/>
      <c r="J172" s="481"/>
      <c r="K172" s="45"/>
      <c r="L172" s="5"/>
      <c r="M172" s="38"/>
      <c r="N172" s="38"/>
      <c r="O172" s="2"/>
    </row>
    <row r="173" spans="2:15">
      <c r="B173" s="35">
        <f>+B171+1</f>
        <v>105</v>
      </c>
      <c r="C173" s="30"/>
      <c r="D173" s="17" t="s">
        <v>474</v>
      </c>
      <c r="E173" s="18" t="str">
        <f>"(ln "&amp;B165&amp;" * ln "&amp;B180&amp;")"</f>
        <v>(ln 98 * ln 110)</v>
      </c>
      <c r="F173" s="60"/>
      <c r="G173" s="45">
        <f>+G165*G180</f>
        <v>83672081.274488539</v>
      </c>
      <c r="H173" s="38"/>
      <c r="I173" s="79"/>
      <c r="J173" s="481"/>
      <c r="K173" s="45"/>
      <c r="L173" s="45">
        <f>+L180*G165</f>
        <v>18042507.583333779</v>
      </c>
      <c r="M173" s="38"/>
      <c r="N173" s="38"/>
      <c r="O173" s="2"/>
    </row>
    <row r="174" spans="2:15">
      <c r="B174" s="35">
        <f>+B173+1</f>
        <v>106</v>
      </c>
      <c r="C174" s="30"/>
      <c r="D174" s="22" t="s">
        <v>475</v>
      </c>
      <c r="E174" s="18" t="str">
        <f>"(ln "&amp;B168&amp;" * ln "&amp;B169&amp;")"</f>
        <v>(ln 101 * ln 102)</v>
      </c>
      <c r="F174" s="18"/>
      <c r="G174" s="49">
        <f>G168*G169</f>
        <v>-1220553.9120419864</v>
      </c>
      <c r="H174" s="38"/>
      <c r="I174" s="79" t="s">
        <v>1103</v>
      </c>
      <c r="J174" s="12">
        <f>+$J$82</f>
        <v>0.21644238442597094</v>
      </c>
      <c r="K174" s="45"/>
      <c r="L174" s="49">
        <f>+G174*J174</f>
        <v>-264179.59904281434</v>
      </c>
      <c r="M174" s="38"/>
      <c r="N174" s="38"/>
      <c r="O174" s="2"/>
    </row>
    <row r="175" spans="2:15">
      <c r="B175" s="35">
        <f>+B174+1</f>
        <v>107</v>
      </c>
      <c r="C175" s="30"/>
      <c r="D175" s="13" t="s">
        <v>556</v>
      </c>
      <c r="E175" s="18" t="str">
        <f>"(ln "&amp;B168&amp;" * ln "&amp;B170&amp;")"</f>
        <v>(ln 101 * ln 103)</v>
      </c>
      <c r="F175" s="18"/>
      <c r="G175" s="49">
        <f>G168*G170</f>
        <v>-61627178.061374277</v>
      </c>
      <c r="H175" s="38"/>
      <c r="I175" s="79" t="s">
        <v>306</v>
      </c>
      <c r="J175" s="12"/>
      <c r="K175" s="45"/>
      <c r="L175" s="49">
        <f>G168*L170</f>
        <v>-6875438.2026352603</v>
      </c>
      <c r="M175" s="38"/>
      <c r="N175" s="38"/>
      <c r="O175" s="2"/>
    </row>
    <row r="176" spans="2:15">
      <c r="B176" s="35">
        <f>+B175+1</f>
        <v>108</v>
      </c>
      <c r="C176" s="30"/>
      <c r="D176" s="13" t="s">
        <v>1009</v>
      </c>
      <c r="E176" s="18" t="str">
        <f>"(ln "&amp;B168&amp;" * ln "&amp;B171&amp;")"</f>
        <v>(ln 101 * ln 104)</v>
      </c>
      <c r="F176" s="18"/>
      <c r="G176" s="49">
        <f>G168*G171</f>
        <v>1869044.6617985603</v>
      </c>
      <c r="H176" s="38"/>
      <c r="I176" s="79" t="s">
        <v>306</v>
      </c>
      <c r="J176" s="12"/>
      <c r="K176" s="45"/>
      <c r="L176" s="49">
        <f>G168*L171</f>
        <v>324711.63975127228</v>
      </c>
      <c r="M176" s="38"/>
      <c r="N176" s="38"/>
      <c r="O176" s="2"/>
    </row>
    <row r="177" spans="2:15">
      <c r="B177" s="35"/>
      <c r="C177" s="30"/>
      <c r="D177" s="13"/>
      <c r="E177" s="18"/>
      <c r="F177" s="18"/>
      <c r="G177" s="49"/>
      <c r="H177" s="38"/>
      <c r="I177" s="50"/>
      <c r="J177" s="12"/>
      <c r="K177" s="45"/>
      <c r="L177" s="49"/>
      <c r="M177" s="38"/>
      <c r="N177" s="38"/>
      <c r="O177" s="2"/>
    </row>
    <row r="178" spans="2:15">
      <c r="B178" s="35">
        <f>+B176+1</f>
        <v>109</v>
      </c>
      <c r="C178" s="30"/>
      <c r="D178" s="17" t="s">
        <v>251</v>
      </c>
      <c r="E178" s="8" t="str">
        <f>"(sum lns "&amp;B173&amp;" to "&amp;B176&amp;")"</f>
        <v>(sum lns 105 to 108)</v>
      </c>
      <c r="F178" s="18"/>
      <c r="G178" s="50">
        <f>SUM(G173:G176)</f>
        <v>22693393.962870829</v>
      </c>
      <c r="H178" s="38"/>
      <c r="I178" s="79" t="s">
        <v>291</v>
      </c>
      <c r="J178" s="276"/>
      <c r="K178" s="45"/>
      <c r="L178" s="45">
        <f>SUM(L173:L176)</f>
        <v>11227601.421406977</v>
      </c>
      <c r="M178" s="38"/>
      <c r="N178" s="38"/>
      <c r="O178" s="2"/>
    </row>
    <row r="179" spans="2:15">
      <c r="B179" s="35"/>
      <c r="C179" s="30"/>
      <c r="D179" s="16"/>
      <c r="E179" s="8"/>
      <c r="F179" s="8"/>
      <c r="G179" s="8"/>
      <c r="H179" s="8"/>
      <c r="I179" s="11"/>
      <c r="J179" s="277"/>
      <c r="K179" s="8"/>
      <c r="L179" s="8"/>
      <c r="M179" s="38"/>
      <c r="N179" s="38"/>
      <c r="O179" s="2"/>
    </row>
    <row r="180" spans="2:15">
      <c r="B180" s="35">
        <f>+B178+1</f>
        <v>110</v>
      </c>
      <c r="C180" s="30"/>
      <c r="D180" s="17" t="s">
        <v>373</v>
      </c>
      <c r="E180" s="17" t="str">
        <f>"(ln "&amp;B110&amp;" * ln "&amp;B234&amp;")"</f>
        <v>(ln 62 * ln 142)</v>
      </c>
      <c r="F180" s="128"/>
      <c r="G180" s="45">
        <f>+$L234*G110</f>
        <v>373973997.6865918</v>
      </c>
      <c r="H180" s="8"/>
      <c r="I180" s="79"/>
      <c r="J180" s="45"/>
      <c r="K180" s="45"/>
      <c r="L180" s="45">
        <f>+L234*L110</f>
        <v>80641339.21916987</v>
      </c>
      <c r="M180" s="38"/>
      <c r="N180" s="38"/>
    </row>
    <row r="181" spans="2:15">
      <c r="B181" s="35"/>
      <c r="C181" s="30"/>
      <c r="D181" s="17"/>
      <c r="E181" s="5"/>
      <c r="F181" s="5"/>
      <c r="G181" s="45"/>
      <c r="H181" s="45"/>
      <c r="I181" s="79"/>
      <c r="J181" s="79"/>
      <c r="K181" s="45"/>
      <c r="L181" s="45"/>
      <c r="M181" s="38"/>
      <c r="N181" s="38"/>
    </row>
    <row r="182" spans="2:15">
      <c r="B182" s="35">
        <f>+B180+1</f>
        <v>111</v>
      </c>
      <c r="C182" s="30"/>
      <c r="D182" s="47" t="str">
        <f>"INTEREST ON IPP CONTRIBUTION FOR CONST. (Note E) (Worksheet E, ln "&amp;'SWEPCO WS E IPP Credits'!A11&amp;")"</f>
        <v>INTEREST ON IPP CONTRIBUTION FOR CONST. (Note E) (Worksheet E, ln 2)</v>
      </c>
      <c r="E182" s="5"/>
      <c r="F182" s="10"/>
      <c r="G182" s="45">
        <f>'SWEPCO WS E IPP Credits'!C11</f>
        <v>0</v>
      </c>
      <c r="H182" s="45"/>
      <c r="I182" s="175" t="s">
        <v>306</v>
      </c>
      <c r="J182" s="12">
        <v>1</v>
      </c>
      <c r="K182" s="119"/>
      <c r="L182" s="45">
        <f>+J182*G182</f>
        <v>0</v>
      </c>
      <c r="M182" s="38"/>
      <c r="N182" s="38"/>
    </row>
    <row r="183" spans="2:15" ht="15.75" thickBot="1">
      <c r="B183" s="35"/>
      <c r="C183" s="30"/>
      <c r="D183" s="16"/>
      <c r="E183" s="5"/>
      <c r="F183" s="5"/>
      <c r="G183" s="46"/>
      <c r="H183" s="484"/>
      <c r="I183" s="79"/>
      <c r="J183" s="79"/>
      <c r="K183" s="45"/>
      <c r="L183" s="46"/>
      <c r="M183" s="38"/>
      <c r="N183" s="38"/>
    </row>
    <row r="184" spans="2:15" ht="15.75" thickBot="1">
      <c r="B184" s="35">
        <f>+B182+1</f>
        <v>112</v>
      </c>
      <c r="C184" s="30"/>
      <c r="D184" s="14" t="s">
        <v>170</v>
      </c>
      <c r="E184" s="478"/>
      <c r="F184" s="478"/>
      <c r="G184" s="477">
        <f>G144+G152+G161+G178+G180+G182</f>
        <v>668891272.02368653</v>
      </c>
      <c r="H184" s="45"/>
      <c r="I184" s="79"/>
      <c r="J184" s="1089"/>
      <c r="K184" s="45"/>
      <c r="L184" s="477">
        <f>L144+L152+L161+L178+L180+L182</f>
        <v>178931472.07890439</v>
      </c>
      <c r="M184" s="38"/>
      <c r="N184" s="38"/>
    </row>
    <row r="185" spans="2:15" ht="15.75" thickTop="1">
      <c r="B185" s="35">
        <f>+B184+1</f>
        <v>113</v>
      </c>
      <c r="C185" s="30"/>
      <c r="D185" s="14" t="str">
        <f>"    (sum lns "&amp;B144&amp;", "&amp;B152&amp;", "&amp;B161&amp;", "&amp;B178&amp;", "&amp;B180&amp;", "&amp;B182&amp;")"</f>
        <v xml:space="preserve">    (sum lns 80, 87, 95, 109, 110, 111)</v>
      </c>
      <c r="E185" s="478"/>
      <c r="F185" s="478"/>
      <c r="G185" s="49"/>
      <c r="H185" s="45"/>
      <c r="I185" s="45"/>
      <c r="J185" s="1089"/>
      <c r="K185" s="45"/>
      <c r="L185" s="49"/>
      <c r="M185" s="38"/>
      <c r="N185" s="38"/>
    </row>
    <row r="186" spans="2:15">
      <c r="B186" s="35"/>
      <c r="C186" s="30"/>
      <c r="D186" s="14"/>
      <c r="E186" s="478"/>
      <c r="F186" s="478"/>
      <c r="G186" s="49"/>
      <c r="H186" s="45"/>
      <c r="I186" s="45"/>
      <c r="J186" s="1089"/>
      <c r="K186" s="45"/>
      <c r="L186" s="49"/>
      <c r="M186" s="38"/>
      <c r="N186" s="38"/>
    </row>
    <row r="187" spans="2:15">
      <c r="B187" s="35">
        <f>+B185+1</f>
        <v>114</v>
      </c>
      <c r="C187" s="30"/>
      <c r="D187" s="14" t="s">
        <v>465</v>
      </c>
      <c r="F187" s="478"/>
      <c r="G187" s="1093">
        <f>+'SWEPCO WS K State Taxes'!I47</f>
        <v>581160.76414118847</v>
      </c>
      <c r="H187" s="45"/>
      <c r="I187" s="79" t="s">
        <v>306</v>
      </c>
      <c r="J187" s="1089"/>
      <c r="K187" s="45"/>
      <c r="L187" s="1093">
        <f>+'SWEPCO WS K State Taxes'!K47</f>
        <v>155463.00046849539</v>
      </c>
      <c r="M187" s="38"/>
      <c r="N187" s="38"/>
    </row>
    <row r="188" spans="2:15" ht="15.75">
      <c r="B188" s="35"/>
      <c r="C188" s="38"/>
      <c r="D188" s="38"/>
      <c r="E188" s="38"/>
      <c r="F188" s="38"/>
      <c r="G188" s="38"/>
      <c r="H188" s="38"/>
      <c r="I188" s="4"/>
      <c r="J188" s="1087"/>
      <c r="K188" s="4"/>
      <c r="L188" s="5"/>
      <c r="M188" s="38"/>
      <c r="N188" s="38"/>
    </row>
    <row r="189" spans="2:15" ht="15.75" thickBot="1">
      <c r="B189" s="35">
        <f>+B187+1</f>
        <v>115</v>
      </c>
      <c r="C189" s="30"/>
      <c r="D189" s="5" t="s">
        <v>1164</v>
      </c>
      <c r="E189" s="8" t="str">
        <f>"(ln "&amp;B184&amp;" + "&amp;B187&amp;")"</f>
        <v>(ln 112 + 114)</v>
      </c>
      <c r="F189" s="5"/>
      <c r="G189" s="1094">
        <f>+G184+G187</f>
        <v>669472432.78782773</v>
      </c>
      <c r="H189" s="5"/>
      <c r="I189" s="5"/>
      <c r="J189" s="1089"/>
      <c r="K189" s="5"/>
      <c r="L189" s="1094">
        <f>+L184+L187</f>
        <v>179086935.07937288</v>
      </c>
      <c r="M189" s="38"/>
      <c r="N189" s="38"/>
    </row>
    <row r="190" spans="2:15" ht="15.75" thickTop="1">
      <c r="B190" s="35"/>
      <c r="C190" s="30"/>
      <c r="D190" s="14"/>
      <c r="E190" s="5"/>
      <c r="F190" s="48"/>
      <c r="G190" s="5"/>
      <c r="H190" s="5"/>
      <c r="I190" s="5"/>
      <c r="J190" s="5"/>
      <c r="K190" s="5"/>
      <c r="L190" s="5"/>
      <c r="M190" s="38"/>
      <c r="N190" s="38"/>
    </row>
    <row r="191" spans="2:15">
      <c r="B191" s="35"/>
      <c r="C191" s="30"/>
      <c r="D191" s="5"/>
      <c r="E191" s="5"/>
      <c r="F191" s="48"/>
      <c r="G191" s="5"/>
      <c r="H191" s="5"/>
      <c r="I191" s="5"/>
      <c r="J191" s="5"/>
      <c r="K191" s="5"/>
      <c r="L191" s="5"/>
      <c r="M191" s="38"/>
      <c r="N191" s="38"/>
    </row>
    <row r="192" spans="2:15">
      <c r="B192" s="35"/>
      <c r="C192" s="30"/>
      <c r="D192" s="14"/>
      <c r="E192" s="5"/>
      <c r="F192" s="32" t="str">
        <f>F113</f>
        <v xml:space="preserve">AEP West SPP Member Operating Companies </v>
      </c>
      <c r="G192" s="5"/>
      <c r="H192" s="5"/>
      <c r="I192" s="5"/>
      <c r="J192" s="5"/>
      <c r="K192" s="5"/>
      <c r="L192" s="5"/>
      <c r="M192" s="38"/>
      <c r="N192" s="38"/>
    </row>
    <row r="193" spans="2:16">
      <c r="B193" s="35"/>
      <c r="C193" s="30"/>
      <c r="D193" s="14"/>
      <c r="E193" s="5"/>
      <c r="F193" s="32" t="str">
        <f>F114</f>
        <v>Transmission Cost of Service Formula Rate</v>
      </c>
      <c r="G193" s="5"/>
      <c r="H193" s="5"/>
      <c r="I193" s="5"/>
      <c r="J193" s="5"/>
      <c r="K193" s="5"/>
      <c r="L193" s="5"/>
      <c r="M193" s="38"/>
      <c r="N193" s="38"/>
    </row>
    <row r="194" spans="2:16">
      <c r="B194" s="5"/>
      <c r="C194" s="30"/>
      <c r="D194" s="5"/>
      <c r="E194" s="5"/>
      <c r="F194" s="32" t="str">
        <f>F115</f>
        <v>Utilizing Actual / Projected Cost Data for the 2019 Rate Year</v>
      </c>
      <c r="G194" s="5"/>
      <c r="H194" s="5"/>
      <c r="I194" s="5"/>
      <c r="J194" s="5"/>
      <c r="K194" s="5"/>
      <c r="M194" s="38"/>
      <c r="N194" s="38"/>
    </row>
    <row r="195" spans="2:16">
      <c r="B195" s="35"/>
      <c r="C195" s="30"/>
      <c r="E195" s="32"/>
      <c r="F195" s="32"/>
      <c r="G195" s="32"/>
      <c r="H195" s="32"/>
      <c r="I195" s="32"/>
      <c r="J195" s="32"/>
      <c r="K195" s="32"/>
      <c r="M195" s="38"/>
      <c r="N195" s="38"/>
    </row>
    <row r="196" spans="2:16">
      <c r="B196" s="35"/>
      <c r="C196" s="30"/>
      <c r="D196" s="5"/>
      <c r="E196" s="14"/>
      <c r="F196" s="32" t="str">
        <f>F117</f>
        <v>SOUTHWESTERN ELECTRIC POWER COMPANY</v>
      </c>
      <c r="G196" s="14"/>
      <c r="H196" s="14"/>
      <c r="I196" s="14"/>
      <c r="J196" s="14"/>
      <c r="K196" s="14"/>
      <c r="L196" s="14"/>
      <c r="M196" s="38"/>
      <c r="N196" s="38"/>
    </row>
    <row r="197" spans="2:16">
      <c r="B197" s="35"/>
      <c r="C197" s="30"/>
      <c r="D197" s="5"/>
      <c r="E197" s="14"/>
      <c r="F197" s="32"/>
      <c r="G197" s="45"/>
      <c r="H197" s="14"/>
      <c r="I197" s="14"/>
      <c r="J197" s="14"/>
      <c r="K197" s="14"/>
      <c r="L197" s="45"/>
      <c r="M197" s="38"/>
      <c r="N197" s="38"/>
    </row>
    <row r="198" spans="2:16" ht="15.75">
      <c r="B198" s="35"/>
      <c r="C198" s="30"/>
      <c r="D198" s="5"/>
      <c r="F198" s="380" t="s">
        <v>255</v>
      </c>
      <c r="G198" s="5"/>
      <c r="H198" s="7"/>
      <c r="I198" s="7"/>
      <c r="J198" s="7"/>
      <c r="K198" s="7"/>
      <c r="L198" s="7"/>
      <c r="M198" s="38"/>
      <c r="N198" s="38"/>
    </row>
    <row r="199" spans="2:16" ht="15.75">
      <c r="B199" s="35"/>
      <c r="C199" s="30"/>
      <c r="D199" s="19"/>
      <c r="E199" s="7"/>
      <c r="F199" s="7"/>
      <c r="G199" s="7"/>
      <c r="H199" s="7"/>
      <c r="I199" s="7"/>
      <c r="J199" s="7"/>
      <c r="K199" s="7"/>
      <c r="L199" s="7"/>
      <c r="M199" s="38"/>
      <c r="N199" s="38"/>
    </row>
    <row r="200" spans="2:16" ht="15.75">
      <c r="B200" s="35" t="s">
        <v>293</v>
      </c>
      <c r="C200" s="30"/>
      <c r="D200" s="19"/>
      <c r="E200" s="7"/>
      <c r="F200" s="7"/>
      <c r="G200" s="7"/>
      <c r="H200" s="7"/>
      <c r="I200" s="7"/>
      <c r="J200" s="7"/>
      <c r="K200" s="7"/>
      <c r="L200" s="7"/>
      <c r="M200" s="38"/>
      <c r="N200" s="38"/>
    </row>
    <row r="201" spans="2:16" ht="15.75" thickBot="1">
      <c r="B201" s="381" t="s">
        <v>294</v>
      </c>
      <c r="C201" s="25"/>
      <c r="D201" s="14" t="s">
        <v>104</v>
      </c>
      <c r="E201" s="7"/>
      <c r="F201" s="7"/>
      <c r="G201" s="7"/>
      <c r="H201" s="7"/>
      <c r="I201" s="7"/>
      <c r="J201" s="7"/>
      <c r="K201" s="5"/>
      <c r="L201" s="5"/>
      <c r="M201" s="38"/>
      <c r="N201" s="38"/>
      <c r="P201" s="38"/>
    </row>
    <row r="202" spans="2:16">
      <c r="B202" s="35">
        <f>+B189+1</f>
        <v>116</v>
      </c>
      <c r="C202" s="30"/>
      <c r="D202" s="7" t="s">
        <v>342</v>
      </c>
      <c r="E202" s="904" t="str">
        <f>"(ln "&amp;B55&amp;")"</f>
        <v>(ln 16)</v>
      </c>
      <c r="F202" s="20"/>
      <c r="H202" s="21"/>
      <c r="I202" s="21"/>
      <c r="J202" s="21"/>
      <c r="K202" s="21"/>
      <c r="L202" s="49">
        <f>+G55</f>
        <v>1926953229.3578701</v>
      </c>
      <c r="M202" s="38"/>
      <c r="N202" s="38"/>
      <c r="P202" s="38"/>
    </row>
    <row r="203" spans="2:16">
      <c r="B203" s="35">
        <f>+B202+1</f>
        <v>117</v>
      </c>
      <c r="C203" s="30"/>
      <c r="D203" s="293" t="str">
        <f>"  Less transmission plant excluded from SPP Tariff  (Worksheet A, ln "&amp;'SWEPCO WS A RB Support '!A85&amp;" Col. (E))  (Note Q)"</f>
        <v xml:space="preserve">  Less transmission plant excluded from SPP Tariff  (Worksheet A, ln 42 Col. (E))  (Note Q)</v>
      </c>
      <c r="E203" s="22"/>
      <c r="F203" s="22"/>
      <c r="G203" s="23"/>
      <c r="H203" s="22"/>
      <c r="I203" s="22"/>
      <c r="J203" s="22"/>
      <c r="K203" s="22"/>
      <c r="L203" s="1093">
        <f>+'SWEPCO WS A RB Support '!G85</f>
        <v>51926368</v>
      </c>
      <c r="M203" s="38"/>
      <c r="N203" s="38"/>
      <c r="P203" s="38"/>
    </row>
    <row r="204" spans="2:16" ht="15.75" thickBot="1">
      <c r="B204" s="35">
        <f>+B203+1</f>
        <v>118</v>
      </c>
      <c r="C204" s="30"/>
      <c r="D204" s="20" t="str">
        <f>"  Less transmission plant included in OATT Ancillary Services (Worksheet A, ln "&amp;'SWEPCO WS A RB Support '!A79&amp;", Col. (E))  (Note R)"</f>
        <v xml:space="preserve">  Less transmission plant included in OATT Ancillary Services (Worksheet A, ln 39, Col. (E))  (Note R)</v>
      </c>
      <c r="E204" s="20"/>
      <c r="F204" s="20"/>
      <c r="G204" s="9"/>
      <c r="H204" s="21"/>
      <c r="I204" s="21"/>
      <c r="J204" s="9"/>
      <c r="K204" s="21"/>
      <c r="L204" s="1095">
        <f>+'SWEPCO WS A RB Support '!G79</f>
        <v>37745577</v>
      </c>
      <c r="M204" s="38"/>
      <c r="N204" s="38"/>
      <c r="P204" s="38"/>
    </row>
    <row r="205" spans="2:16">
      <c r="B205" s="35">
        <f>+B204+1</f>
        <v>119</v>
      </c>
      <c r="C205" s="30"/>
      <c r="D205" s="7" t="s">
        <v>105</v>
      </c>
      <c r="E205" s="905" t="str">
        <f>"(ln "&amp;B202&amp;" - ln "&amp;B203&amp;" - ln "&amp;B204&amp;")"</f>
        <v>(ln 116 - ln 117 - ln 118)</v>
      </c>
      <c r="F205" s="20"/>
      <c r="H205" s="21"/>
      <c r="I205" s="21"/>
      <c r="J205" s="9"/>
      <c r="K205" s="21"/>
      <c r="L205" s="49">
        <f>L202-L203-L204</f>
        <v>1837281284.3578701</v>
      </c>
      <c r="M205" s="38"/>
      <c r="N205" s="38"/>
      <c r="P205" s="38"/>
    </row>
    <row r="206" spans="2:16">
      <c r="B206" s="35"/>
      <c r="C206" s="30"/>
      <c r="D206" s="5"/>
      <c r="E206" s="20"/>
      <c r="F206" s="20"/>
      <c r="G206" s="9"/>
      <c r="H206" s="21"/>
      <c r="I206" s="21"/>
      <c r="J206" s="9"/>
      <c r="K206" s="21"/>
      <c r="L206" s="22"/>
      <c r="M206" s="38"/>
      <c r="N206" s="38"/>
      <c r="P206" s="38"/>
    </row>
    <row r="207" spans="2:16" ht="15.75">
      <c r="B207" s="35">
        <f>+B205+1</f>
        <v>120</v>
      </c>
      <c r="C207" s="30"/>
      <c r="D207" s="7" t="s">
        <v>106</v>
      </c>
      <c r="E207" s="48" t="str">
        <f>"(ln "&amp;B205&amp;" / ln "&amp;B202&amp;")"</f>
        <v>(ln 119 / ln 116)</v>
      </c>
      <c r="F207" s="24"/>
      <c r="H207" s="26"/>
      <c r="I207" s="27"/>
      <c r="J207" s="27"/>
      <c r="K207" s="28" t="s">
        <v>319</v>
      </c>
      <c r="L207" s="29">
        <f>IF(L202&gt;0,L205/L202,0)</f>
        <v>0.95346438946528977</v>
      </c>
      <c r="M207" s="38"/>
      <c r="N207" s="38"/>
      <c r="P207" s="38"/>
    </row>
    <row r="208" spans="2:16" ht="15.75">
      <c r="B208" s="35"/>
      <c r="C208" s="30"/>
      <c r="D208" s="19"/>
      <c r="E208" s="7"/>
      <c r="F208" s="7"/>
      <c r="G208" s="53"/>
      <c r="H208" s="7"/>
      <c r="I208" s="30"/>
      <c r="J208" s="7"/>
      <c r="K208" s="7"/>
      <c r="L208" s="7"/>
      <c r="M208" s="38"/>
      <c r="N208" s="38"/>
    </row>
    <row r="209" spans="2:14" ht="45">
      <c r="B209" s="35">
        <f>B207+1</f>
        <v>121</v>
      </c>
      <c r="C209" s="30"/>
      <c r="D209" s="14" t="s">
        <v>256</v>
      </c>
      <c r="E209" s="11" t="s">
        <v>70</v>
      </c>
      <c r="F209" s="11" t="s">
        <v>358</v>
      </c>
      <c r="G209" s="78" t="s">
        <v>400</v>
      </c>
      <c r="H209" s="73" t="s">
        <v>295</v>
      </c>
      <c r="I209" s="11"/>
      <c r="J209" s="8"/>
      <c r="K209" s="8"/>
      <c r="L209" s="8"/>
      <c r="M209" s="38"/>
      <c r="N209" s="38"/>
    </row>
    <row r="210" spans="2:14">
      <c r="B210" s="35">
        <f t="shared" ref="B210:B215" si="10">+B209+1</f>
        <v>122</v>
      </c>
      <c r="C210" s="30"/>
      <c r="D210" s="14" t="s">
        <v>303</v>
      </c>
      <c r="E210" s="8" t="s">
        <v>73</v>
      </c>
      <c r="F210" s="727">
        <f>+'[4]Inputs 2019'!H63</f>
        <v>42943610</v>
      </c>
      <c r="G210" s="727">
        <f>+'[4]Inputs 2019'!I63</f>
        <v>14702127.844808223</v>
      </c>
      <c r="H210" s="1093">
        <f>+F210+G210</f>
        <v>57645737.844808221</v>
      </c>
      <c r="I210" s="11" t="s">
        <v>304</v>
      </c>
      <c r="J210" s="12">
        <v>0</v>
      </c>
      <c r="K210" s="486"/>
      <c r="L210" s="45">
        <f>(F210+G210)*J210</f>
        <v>0</v>
      </c>
      <c r="M210" s="38"/>
      <c r="N210" s="38"/>
    </row>
    <row r="211" spans="2:14">
      <c r="B211" s="35">
        <f t="shared" si="10"/>
        <v>123</v>
      </c>
      <c r="C211" s="30"/>
      <c r="D211" s="16" t="s">
        <v>305</v>
      </c>
      <c r="E211" s="8" t="s">
        <v>173</v>
      </c>
      <c r="F211" s="727">
        <f>+'[4]Inputs 2019'!H64</f>
        <v>4183831</v>
      </c>
      <c r="G211" s="727">
        <f>+'[4]Inputs 2019'!I64</f>
        <v>4234102</v>
      </c>
      <c r="H211" s="1093">
        <f>+F211+G211</f>
        <v>8417933</v>
      </c>
      <c r="I211" s="30" t="s">
        <v>297</v>
      </c>
      <c r="J211" s="12">
        <f>+$L$207</f>
        <v>0.95346438946528977</v>
      </c>
      <c r="K211" s="486"/>
      <c r="L211" s="45">
        <f>(F211+G211)*J211</f>
        <v>8026199.3484047148</v>
      </c>
      <c r="M211" s="38"/>
      <c r="N211" s="38"/>
    </row>
    <row r="212" spans="2:14">
      <c r="B212" s="35">
        <f t="shared" si="10"/>
        <v>124</v>
      </c>
      <c r="C212" s="30"/>
      <c r="D212" s="16" t="s">
        <v>171</v>
      </c>
      <c r="E212" s="8" t="s">
        <v>172</v>
      </c>
      <c r="F212" s="727">
        <f>+'[4]Inputs 2019'!H65</f>
        <v>0</v>
      </c>
      <c r="G212" s="727">
        <f>+'[4]Inputs 2019'!I65</f>
        <v>0</v>
      </c>
      <c r="H212" s="1093">
        <f>+F212+G212</f>
        <v>0</v>
      </c>
      <c r="I212" s="11" t="s">
        <v>304</v>
      </c>
      <c r="J212" s="12">
        <v>0</v>
      </c>
      <c r="K212" s="486"/>
      <c r="L212" s="45">
        <f>(F212+G212)*J212</f>
        <v>0</v>
      </c>
      <c r="M212" s="38"/>
      <c r="N212" s="38"/>
    </row>
    <row r="213" spans="2:14">
      <c r="B213" s="35">
        <f t="shared" si="10"/>
        <v>125</v>
      </c>
      <c r="C213" s="30"/>
      <c r="D213" s="16" t="s">
        <v>307</v>
      </c>
      <c r="E213" s="8" t="s">
        <v>71</v>
      </c>
      <c r="F213" s="727">
        <f>+'[4]Inputs 2019'!H66</f>
        <v>29000539</v>
      </c>
      <c r="G213" s="727">
        <f>+'[4]Inputs 2019'!I66</f>
        <v>1641582</v>
      </c>
      <c r="H213" s="1093">
        <f>+F213+G213</f>
        <v>30642121</v>
      </c>
      <c r="I213" s="11" t="s">
        <v>304</v>
      </c>
      <c r="J213" s="12">
        <v>0</v>
      </c>
      <c r="K213" s="486"/>
      <c r="L213" s="45">
        <f>(F213+G213)*J213</f>
        <v>0</v>
      </c>
      <c r="M213" s="38"/>
      <c r="N213" s="38"/>
    </row>
    <row r="214" spans="2:14" ht="15.75" thickBot="1">
      <c r="B214" s="35">
        <f t="shared" si="10"/>
        <v>126</v>
      </c>
      <c r="C214" s="30"/>
      <c r="D214" s="16" t="s">
        <v>374</v>
      </c>
      <c r="E214" s="6" t="s">
        <v>72</v>
      </c>
      <c r="F214" s="727">
        <f>+'[4]Inputs 2019'!H67</f>
        <v>7732783</v>
      </c>
      <c r="G214" s="727">
        <f>+'[4]Inputs 2019'!I67</f>
        <v>6715774</v>
      </c>
      <c r="H214" s="1095">
        <f>+F214+G214</f>
        <v>14448557</v>
      </c>
      <c r="I214" s="11" t="s">
        <v>304</v>
      </c>
      <c r="J214" s="12">
        <v>0</v>
      </c>
      <c r="K214" s="486"/>
      <c r="L214" s="46">
        <f>(F214+G214)*J214</f>
        <v>0</v>
      </c>
      <c r="M214" s="38"/>
      <c r="N214" s="38"/>
    </row>
    <row r="215" spans="2:14">
      <c r="B215" s="35">
        <f t="shared" si="10"/>
        <v>127</v>
      </c>
      <c r="C215" s="30"/>
      <c r="D215" s="16" t="s">
        <v>295</v>
      </c>
      <c r="E215" s="16" t="str">
        <f>"(sum lns "&amp;B210&amp;" to "&amp;B214&amp;")"</f>
        <v>(sum lns 122 to 126)</v>
      </c>
      <c r="F215" s="712">
        <f>SUM(F210:F214)</f>
        <v>83860763</v>
      </c>
      <c r="G215" s="712">
        <f>SUM(G210:G214)</f>
        <v>27293585.844808221</v>
      </c>
      <c r="H215" s="8">
        <f>SUM(H210:H214)</f>
        <v>111154348.84480822</v>
      </c>
      <c r="I215" s="11"/>
      <c r="J215" s="8"/>
      <c r="K215" s="8"/>
      <c r="L215" s="45">
        <f>SUM(L210:L214)</f>
        <v>8026199.3484047148</v>
      </c>
      <c r="M215" s="38"/>
      <c r="N215" s="38"/>
    </row>
    <row r="216" spans="2:14">
      <c r="B216" s="35"/>
      <c r="C216" s="30"/>
      <c r="D216" s="16" t="s">
        <v>291</v>
      </c>
      <c r="E216" s="8" t="s">
        <v>291</v>
      </c>
      <c r="F216" s="8"/>
      <c r="G216" s="5"/>
      <c r="H216" s="8"/>
      <c r="I216" s="73"/>
      <c r="M216" s="38"/>
      <c r="N216" s="38"/>
    </row>
    <row r="217" spans="2:14" ht="15.75">
      <c r="B217" s="35">
        <f>B215+1</f>
        <v>128</v>
      </c>
      <c r="C217" s="30"/>
      <c r="D217" s="16" t="s">
        <v>257</v>
      </c>
      <c r="E217" s="8"/>
      <c r="F217" s="8"/>
      <c r="G217" s="8"/>
      <c r="H217" s="8"/>
      <c r="I217" s="73"/>
      <c r="K217" s="487" t="s">
        <v>258</v>
      </c>
      <c r="L217" s="488">
        <f>IF(H215&lt;&gt;0,L215/(F215+G215),0)</f>
        <v>7.2207695261754939E-2</v>
      </c>
      <c r="M217" s="38"/>
      <c r="N217" s="38"/>
    </row>
    <row r="218" spans="2:14">
      <c r="B218" s="35"/>
      <c r="C218" s="30"/>
      <c r="D218" s="16"/>
      <c r="E218" s="8"/>
      <c r="F218" s="8"/>
      <c r="G218" s="8"/>
      <c r="H218" s="8"/>
      <c r="I218" s="11"/>
      <c r="J218" s="8"/>
      <c r="K218" s="8"/>
      <c r="L218" s="8"/>
      <c r="M218" s="38"/>
      <c r="N218" s="38"/>
    </row>
    <row r="219" spans="2:14" ht="15.75">
      <c r="B219" s="35"/>
      <c r="C219" s="30"/>
      <c r="D219" s="16"/>
      <c r="E219" s="48"/>
      <c r="F219" s="8"/>
      <c r="G219" s="5"/>
      <c r="H219" s="8"/>
      <c r="I219" s="8"/>
      <c r="J219" s="8"/>
      <c r="K219" s="121"/>
      <c r="L219" s="31"/>
      <c r="M219" s="38"/>
      <c r="N219" s="38"/>
    </row>
    <row r="220" spans="2:14" ht="15.75" thickBot="1">
      <c r="B220" s="35">
        <f>+B217+1</f>
        <v>129</v>
      </c>
      <c r="C220" s="30"/>
      <c r="D220" s="16" t="s">
        <v>372</v>
      </c>
      <c r="E220" s="8"/>
      <c r="F220" s="8"/>
      <c r="G220" s="8"/>
      <c r="H220" s="8"/>
      <c r="I220" s="8"/>
      <c r="J220" s="8"/>
      <c r="K220" s="8"/>
      <c r="L220" s="80" t="s">
        <v>320</v>
      </c>
      <c r="M220" s="38"/>
      <c r="N220" s="38"/>
    </row>
    <row r="221" spans="2:14">
      <c r="B221" s="35">
        <f t="shared" ref="B221:B228" si="11">+B220+1</f>
        <v>130</v>
      </c>
      <c r="C221" s="30"/>
      <c r="D221" s="8" t="s">
        <v>405</v>
      </c>
      <c r="E221" s="15" t="str">
        <f>"Long Term Interest (Worksheet M, ln. "&amp;'SWEPCO WS M Avg Cap Structure'!A36&amp;", col. "&amp;'SWEPCO WS M Avg Cap Structure'!E7&amp;")"</f>
        <v>Long Term Interest (Worksheet M, ln. 21, col. (E))</v>
      </c>
      <c r="F221" s="8"/>
      <c r="G221" s="8"/>
      <c r="H221" s="8"/>
      <c r="I221" s="8"/>
      <c r="J221" s="8"/>
      <c r="K221" s="8"/>
      <c r="L221" s="45">
        <f>+'SWEPCO WS M Avg Cap Structure'!E36</f>
        <v>122143004.16321717</v>
      </c>
      <c r="M221" s="38"/>
      <c r="N221" s="38"/>
    </row>
    <row r="222" spans="2:14">
      <c r="B222" s="35">
        <f t="shared" si="11"/>
        <v>131</v>
      </c>
      <c r="C222" s="30"/>
      <c r="D222" s="8" t="s">
        <v>406</v>
      </c>
      <c r="E222" s="15" t="str">
        <f>"Preferred Stock Dividends (Worksheet M, ln. "&amp;'SWEPCO WS M Avg Cap Structure'!A68&amp;", col. "&amp;'SWEPCO WS M Avg Cap Structure'!E7&amp;")"</f>
        <v>Preferred Stock Dividends (Worksheet M, ln. 44, col. (E))</v>
      </c>
      <c r="F222" s="8"/>
      <c r="G222" s="8"/>
      <c r="H222" s="8"/>
      <c r="I222" s="8"/>
      <c r="J222" s="8"/>
      <c r="K222" s="8"/>
      <c r="L222" s="45">
        <f>+'SWEPCO WS M Avg Cap Structure'!E68</f>
        <v>0</v>
      </c>
      <c r="M222" s="38"/>
      <c r="N222" s="38"/>
    </row>
    <row r="223" spans="2:14" ht="15.75" thickBot="1">
      <c r="B223" s="35">
        <f t="shared" si="11"/>
        <v>132</v>
      </c>
      <c r="C223" s="30"/>
      <c r="D223" s="120" t="s">
        <v>412</v>
      </c>
      <c r="E223" s="8"/>
      <c r="F223" s="8"/>
      <c r="G223" s="8"/>
      <c r="H223" s="38"/>
      <c r="I223" s="38"/>
      <c r="J223" s="38"/>
      <c r="K223" s="8"/>
      <c r="L223" s="177" t="s">
        <v>212</v>
      </c>
      <c r="M223" s="38"/>
      <c r="N223" s="38"/>
    </row>
    <row r="224" spans="2:14">
      <c r="B224" s="35">
        <f t="shared" si="11"/>
        <v>133</v>
      </c>
      <c r="C224" s="30"/>
      <c r="D224" s="8" t="s">
        <v>413</v>
      </c>
      <c r="E224" s="15" t="str">
        <f>"(Worksheet M, ln. "&amp;'SWEPCO WS M Avg Cap Structure'!A12&amp;", col. "&amp;'SWEPCO WS M Avg Cap Structure'!E7&amp;")"</f>
        <v>(Worksheet M, ln. 1, col. (E))</v>
      </c>
      <c r="F224" s="8"/>
      <c r="G224" s="7"/>
      <c r="H224" s="38"/>
      <c r="I224" s="38"/>
      <c r="J224" s="38"/>
      <c r="K224" s="8"/>
      <c r="L224" s="1093">
        <f>+'SWEPCO WS M Avg Cap Structure'!E12</f>
        <v>2362135378.4413347</v>
      </c>
      <c r="M224" s="38"/>
      <c r="N224" s="38"/>
    </row>
    <row r="225" spans="2:21">
      <c r="B225" s="35">
        <f t="shared" si="11"/>
        <v>134</v>
      </c>
      <c r="C225" s="30"/>
      <c r="D225" s="8" t="str">
        <f>"Less Preferred Stock (ln "&amp;B232&amp;")"</f>
        <v>Less Preferred Stock (ln 140)</v>
      </c>
      <c r="E225" s="15" t="str">
        <f>"(Worksheet M, ln. "&amp;'SWEPCO WS M Avg Cap Structure'!A13&amp;", col. "&amp;'SWEPCO WS M Avg Cap Structure'!E7&amp;")"</f>
        <v>(Worksheet M, ln. 2, col. (E))</v>
      </c>
      <c r="F225" s="8"/>
      <c r="G225" s="8"/>
      <c r="H225" s="38"/>
      <c r="I225" s="38"/>
      <c r="J225" s="38"/>
      <c r="K225" s="8"/>
      <c r="L225" s="1093">
        <f>+'SWEPCO WS M Avg Cap Structure'!E13</f>
        <v>0</v>
      </c>
      <c r="M225" s="38"/>
      <c r="N225" s="38"/>
    </row>
    <row r="226" spans="2:21">
      <c r="B226" s="35">
        <f t="shared" si="11"/>
        <v>135</v>
      </c>
      <c r="C226" s="30"/>
      <c r="D226" s="8" t="s">
        <v>66</v>
      </c>
      <c r="E226" s="15" t="str">
        <f>"(Worksheet M, ln. "&amp;'SWEPCO WS M Avg Cap Structure'!A14&amp;", col. "&amp;'SWEPCO WS M Avg Cap Structure'!E7&amp;")"</f>
        <v>(Worksheet M, ln. 3, col. (E))</v>
      </c>
      <c r="F226" s="8"/>
      <c r="G226" s="8"/>
      <c r="H226" s="38"/>
      <c r="I226" s="38"/>
      <c r="J226" s="38"/>
      <c r="K226" s="8"/>
      <c r="L226" s="1093">
        <f>+'SWEPCO WS M Avg Cap Structure'!E14</f>
        <v>31744488.366</v>
      </c>
      <c r="M226" s="38"/>
      <c r="N226" s="38"/>
    </row>
    <row r="227" spans="2:21" ht="15.75" thickBot="1">
      <c r="B227" s="35">
        <f t="shared" si="11"/>
        <v>136</v>
      </c>
      <c r="C227" s="30"/>
      <c r="D227" s="8" t="s">
        <v>414</v>
      </c>
      <c r="E227" s="15" t="str">
        <f>"(Worksheet M, ln. "&amp;'SWEPCO WS M Avg Cap Structure'!A15&amp;", col. "&amp;'SWEPCO WS M Avg Cap Structure'!E7&amp;")"</f>
        <v>(Worksheet M, ln. 4, col. (E))</v>
      </c>
      <c r="F227" s="8"/>
      <c r="G227" s="8"/>
      <c r="H227" s="38"/>
      <c r="I227" s="38"/>
      <c r="J227" s="38"/>
      <c r="K227" s="8"/>
      <c r="L227" s="1095">
        <f>+'SWEPCO WS M Avg Cap Structure'!E15</f>
        <v>-1139895.3446249941</v>
      </c>
      <c r="M227" s="38"/>
      <c r="N227" s="38"/>
    </row>
    <row r="228" spans="2:21">
      <c r="B228" s="35">
        <f t="shared" si="11"/>
        <v>137</v>
      </c>
      <c r="C228" s="30"/>
      <c r="D228" s="15" t="s">
        <v>415</v>
      </c>
      <c r="E228" s="8" t="str">
        <f>"(ln "&amp;B224&amp;" - ln "&amp;B225&amp;" - ln "&amp;B226&amp;" - ln "&amp;B227&amp;")"</f>
        <v>(ln 133 - ln 134 - ln 135 - ln 136)</v>
      </c>
      <c r="F228" s="101"/>
      <c r="H228" s="7"/>
      <c r="I228" s="7"/>
      <c r="J228" s="7"/>
      <c r="K228" s="7"/>
      <c r="L228" s="1084">
        <f>+L224-L225-L226-L227</f>
        <v>2331530785.4199595</v>
      </c>
      <c r="M228" s="38"/>
      <c r="N228" s="38"/>
    </row>
    <row r="229" spans="2:21" ht="52.5" customHeight="1">
      <c r="B229" s="35"/>
      <c r="C229" s="30"/>
      <c r="D229" s="16"/>
      <c r="E229" s="8"/>
      <c r="F229" s="8"/>
      <c r="G229" s="499" t="s">
        <v>473</v>
      </c>
      <c r="H229" s="520"/>
      <c r="I229" s="8"/>
      <c r="J229" s="11" t="s">
        <v>321</v>
      </c>
      <c r="K229" s="8"/>
      <c r="L229" s="8"/>
      <c r="M229" s="38"/>
      <c r="N229" s="38"/>
    </row>
    <row r="230" spans="2:21" ht="15.75" thickBot="1">
      <c r="B230" s="35">
        <f>+B228+1</f>
        <v>138</v>
      </c>
      <c r="C230" s="30"/>
      <c r="D230" s="16"/>
      <c r="E230" s="102" t="s">
        <v>472</v>
      </c>
      <c r="G230" s="906"/>
      <c r="H230" s="520"/>
      <c r="I230" s="8"/>
      <c r="J230" s="102" t="s">
        <v>464</v>
      </c>
      <c r="K230" s="8"/>
      <c r="L230" s="102" t="s">
        <v>323</v>
      </c>
      <c r="M230" s="38"/>
      <c r="N230" s="38"/>
      <c r="O230" s="476"/>
      <c r="P230" s="476"/>
      <c r="Q230" s="476"/>
      <c r="R230" s="476"/>
      <c r="S230" s="476"/>
      <c r="T230" s="476"/>
      <c r="U230" s="476"/>
    </row>
    <row r="231" spans="2:21">
      <c r="B231" s="35">
        <f>+B230+1</f>
        <v>139</v>
      </c>
      <c r="C231" s="30"/>
      <c r="D231" s="8" t="str">
        <f>"Avg Long Term Debt (Worksheet M, ln. "&amp;'SWEPCO WS M Avg Cap Structure'!A25&amp;", col. "&amp;'SWEPCO WS M Avg Cap Structure'!E7&amp;")"</f>
        <v>Avg Long Term Debt (Worksheet M, ln. 11, col. (E))</v>
      </c>
      <c r="E231" s="45">
        <f>+'SWEPCO WS M Avg Cap Structure'!E25</f>
        <v>2663500000</v>
      </c>
      <c r="G231" s="103">
        <f>IF($E$234&gt;0,E231/$E$234,0)</f>
        <v>0.53322994680523572</v>
      </c>
      <c r="H231" s="520"/>
      <c r="I231" s="104"/>
      <c r="J231" s="1299">
        <f>+'SWEPCO WS M Avg Cap Structure'!E38</f>
        <v>4.5858083034810274E-2</v>
      </c>
      <c r="K231" s="5"/>
      <c r="L231" s="907">
        <f>J231*G231</f>
        <v>2.4452903177241966E-2</v>
      </c>
      <c r="M231" s="38"/>
      <c r="N231" s="38"/>
      <c r="O231" s="476"/>
      <c r="P231" s="476"/>
      <c r="Q231" s="476"/>
      <c r="R231" s="476"/>
      <c r="S231" s="476"/>
      <c r="T231" s="476"/>
      <c r="U231" s="476"/>
    </row>
    <row r="232" spans="2:21">
      <c r="B232" s="35">
        <f>+B231+1</f>
        <v>140</v>
      </c>
      <c r="C232" s="30"/>
      <c r="D232" s="8" t="str">
        <f>"Avg Preferred Stock (Worksheet M, ln. "&amp;'SWEPCO WS M Avg Cap Structure'!A67&amp;", col. "&amp;'SWEPCO WS M Avg Cap Structure'!E7&amp;")"</f>
        <v>Avg Preferred Stock (Worksheet M, ln. 43, col. (E))</v>
      </c>
      <c r="E232" s="45">
        <f>+'SWEPCO WS M Avg Cap Structure'!E67</f>
        <v>0</v>
      </c>
      <c r="G232" s="103">
        <f>IF($E$234&gt;0,E232/$E$234,0)</f>
        <v>0</v>
      </c>
      <c r="H232" s="520"/>
      <c r="I232" s="104"/>
      <c r="J232" s="1299">
        <f>IF(E232&gt;0,L222/E232,0)</f>
        <v>0</v>
      </c>
      <c r="K232" s="5"/>
      <c r="L232" s="907">
        <f>J232*G232</f>
        <v>0</v>
      </c>
      <c r="M232" s="38"/>
      <c r="N232" s="38"/>
      <c r="O232" s="476"/>
    </row>
    <row r="233" spans="2:21" ht="15.75" thickBot="1">
      <c r="B233" s="35">
        <f>+B232+1</f>
        <v>141</v>
      </c>
      <c r="C233" s="30"/>
      <c r="D233" s="16" t="str">
        <f>"Avg Common Stock (ln "&amp;B228&amp;") (Note U)"</f>
        <v>Avg Common Stock (ln 137) (Note U)</v>
      </c>
      <c r="E233" s="46">
        <f>+L228</f>
        <v>2331530785.4199595</v>
      </c>
      <c r="G233" s="103">
        <f>IF($E$234&gt;0,E233/$E$234,0)</f>
        <v>0.46677005319476422</v>
      </c>
      <c r="H233" s="520"/>
      <c r="I233" s="104"/>
      <c r="J233" s="1096">
        <v>0.112</v>
      </c>
      <c r="K233" s="5"/>
      <c r="L233" s="908">
        <f>J233*G233</f>
        <v>5.2278245957813593E-2</v>
      </c>
      <c r="M233" s="38"/>
      <c r="N233" s="38"/>
      <c r="O233" s="476"/>
    </row>
    <row r="234" spans="2:21" ht="15.75">
      <c r="B234" s="35">
        <f>+B233+1</f>
        <v>142</v>
      </c>
      <c r="C234" s="30"/>
      <c r="D234" s="16" t="str">
        <f>"  Total  (sum lns "&amp;B231&amp;" to "&amp;B233&amp;")"</f>
        <v xml:space="preserve">  Total  (sum lns 139 to 141)</v>
      </c>
      <c r="E234" s="45">
        <f>E233+E232+E231</f>
        <v>4995030785.41996</v>
      </c>
      <c r="G234" s="8" t="s">
        <v>291</v>
      </c>
      <c r="H234" s="520"/>
      <c r="I234" s="8"/>
      <c r="J234" s="38"/>
      <c r="K234" s="105" t="s">
        <v>245</v>
      </c>
      <c r="L234" s="106">
        <f>SUM(L231:L233)</f>
        <v>7.6731149135055562E-2</v>
      </c>
      <c r="M234" s="38"/>
      <c r="N234" s="38"/>
      <c r="P234" s="1097"/>
    </row>
    <row r="235" spans="2:21">
      <c r="B235" s="273"/>
      <c r="C235" s="38"/>
      <c r="D235" s="38"/>
      <c r="E235" s="38"/>
      <c r="F235" s="38"/>
      <c r="G235" s="38"/>
      <c r="H235" s="38"/>
      <c r="I235" s="38"/>
      <c r="J235" s="52"/>
      <c r="K235" s="52"/>
      <c r="L235" s="52"/>
      <c r="M235" s="38"/>
      <c r="N235" s="38"/>
      <c r="O235" s="33"/>
      <c r="P235" s="33"/>
      <c r="Q235" s="33"/>
      <c r="R235" s="33"/>
      <c r="S235" s="33"/>
      <c r="T235" s="33"/>
      <c r="U235" s="33"/>
    </row>
    <row r="236" spans="2:21">
      <c r="B236" s="35"/>
      <c r="C236" s="38"/>
      <c r="D236" s="38"/>
      <c r="E236" s="38"/>
      <c r="F236" s="38"/>
      <c r="G236" s="38"/>
      <c r="H236" s="38"/>
      <c r="I236" s="38"/>
      <c r="J236" s="8"/>
      <c r="K236" s="7"/>
      <c r="L236" s="8"/>
      <c r="M236" s="38"/>
      <c r="N236" s="38"/>
      <c r="O236" s="33"/>
      <c r="P236" s="33"/>
      <c r="Q236" s="33"/>
      <c r="R236" s="33"/>
      <c r="S236" s="33"/>
      <c r="T236" s="33"/>
      <c r="U236" s="33"/>
    </row>
    <row r="237" spans="2:21" ht="15.75">
      <c r="B237" s="35"/>
      <c r="C237" s="30"/>
      <c r="D237" s="463"/>
      <c r="E237" s="463"/>
      <c r="F237" s="32" t="str">
        <f>F192</f>
        <v xml:space="preserve">AEP West SPP Member Operating Companies </v>
      </c>
      <c r="G237" s="464"/>
      <c r="H237" s="8"/>
      <c r="I237" s="8"/>
      <c r="J237" s="8"/>
      <c r="K237" s="7"/>
      <c r="L237" s="8"/>
      <c r="M237" s="38"/>
      <c r="N237" s="38"/>
      <c r="O237" s="33"/>
      <c r="P237" s="33"/>
      <c r="Q237" s="33"/>
      <c r="R237" s="33"/>
      <c r="S237" s="33"/>
      <c r="T237" s="33"/>
      <c r="U237" s="33"/>
    </row>
    <row r="238" spans="2:21">
      <c r="B238" s="35"/>
      <c r="C238" s="30"/>
      <c r="D238" s="489"/>
      <c r="E238" s="30"/>
      <c r="F238" s="32" t="str">
        <f>F193</f>
        <v>Transmission Cost of Service Formula Rate</v>
      </c>
      <c r="G238" s="8"/>
      <c r="H238" s="8"/>
      <c r="I238" s="8"/>
      <c r="J238" s="8"/>
      <c r="K238" s="7"/>
      <c r="L238" s="382"/>
      <c r="M238" s="38"/>
      <c r="N238" s="38"/>
      <c r="O238" s="33"/>
      <c r="P238" s="33"/>
      <c r="Q238" s="33"/>
      <c r="R238" s="33"/>
      <c r="S238" s="33"/>
      <c r="T238" s="33"/>
      <c r="U238" s="33"/>
    </row>
    <row r="239" spans="2:21" ht="15.75">
      <c r="B239" s="35"/>
      <c r="C239" s="30"/>
      <c r="D239" s="489"/>
      <c r="E239" s="380"/>
      <c r="F239" s="32" t="str">
        <f>F194</f>
        <v>Utilizing Actual / Projected Cost Data for the 2019 Rate Year</v>
      </c>
      <c r="G239" s="8"/>
      <c r="H239" s="8"/>
      <c r="I239" s="8"/>
      <c r="J239" s="8"/>
      <c r="K239" s="7"/>
      <c r="L239" s="382"/>
      <c r="M239" s="38"/>
      <c r="N239" s="38"/>
      <c r="O239" s="33"/>
      <c r="P239" s="33"/>
      <c r="Q239" s="33"/>
      <c r="R239" s="33"/>
      <c r="S239" s="33"/>
      <c r="T239" s="33"/>
      <c r="U239" s="33"/>
    </row>
    <row r="240" spans="2:21" ht="15.75">
      <c r="B240" s="35"/>
      <c r="C240" s="30"/>
      <c r="D240" s="489"/>
      <c r="E240" s="380"/>
      <c r="F240" s="32"/>
      <c r="G240" s="8"/>
      <c r="H240" s="8"/>
      <c r="I240" s="8"/>
      <c r="J240" s="8"/>
      <c r="K240" s="7"/>
      <c r="L240" s="382"/>
      <c r="M240" s="38"/>
      <c r="N240" s="38"/>
      <c r="O240" s="33"/>
      <c r="P240" s="33"/>
      <c r="Q240" s="33"/>
      <c r="R240" s="33"/>
      <c r="S240" s="33"/>
      <c r="T240" s="33"/>
      <c r="U240" s="33"/>
    </row>
    <row r="241" spans="2:21" ht="15.75">
      <c r="B241" s="35"/>
      <c r="C241" s="30"/>
      <c r="D241" s="489"/>
      <c r="E241" s="380"/>
      <c r="F241" s="32" t="str">
        <f>F196</f>
        <v>SOUTHWESTERN ELECTRIC POWER COMPANY</v>
      </c>
      <c r="G241" s="8"/>
      <c r="H241" s="8"/>
      <c r="I241" s="8"/>
      <c r="J241" s="8"/>
      <c r="K241" s="7"/>
      <c r="L241" s="382"/>
      <c r="M241" s="38"/>
      <c r="N241" s="38"/>
      <c r="O241" s="33"/>
      <c r="P241" s="33"/>
      <c r="Q241" s="33"/>
      <c r="R241" s="33"/>
      <c r="S241" s="33"/>
      <c r="T241" s="33"/>
      <c r="U241" s="33"/>
    </row>
    <row r="242" spans="2:21" ht="15.75">
      <c r="B242" s="35"/>
      <c r="C242" s="30"/>
      <c r="D242" s="489"/>
      <c r="E242" s="380"/>
      <c r="F242" s="32"/>
      <c r="G242" s="8"/>
      <c r="H242" s="8"/>
      <c r="I242" s="8"/>
      <c r="J242" s="8"/>
      <c r="K242" s="7"/>
      <c r="L242" s="382"/>
      <c r="M242" s="38"/>
      <c r="N242" s="38"/>
      <c r="O242" s="33"/>
      <c r="P242" s="33"/>
      <c r="Q242" s="33"/>
      <c r="R242" s="33"/>
      <c r="S242" s="33"/>
      <c r="T242" s="33"/>
      <c r="U242" s="33"/>
    </row>
    <row r="243" spans="2:21" ht="15.75">
      <c r="B243" s="490" t="s">
        <v>352</v>
      </c>
      <c r="C243" s="25"/>
      <c r="D243" s="14"/>
      <c r="E243" s="7"/>
      <c r="F243" s="490" t="s">
        <v>351</v>
      </c>
      <c r="G243" s="8"/>
      <c r="H243" s="8"/>
      <c r="I243" s="8"/>
      <c r="J243" s="8"/>
      <c r="K243" s="7"/>
      <c r="L243" s="8"/>
      <c r="M243" s="38"/>
      <c r="N243" s="38"/>
      <c r="O243" s="33"/>
      <c r="P243" s="33"/>
      <c r="Q243" s="33"/>
      <c r="R243" s="33"/>
      <c r="S243" s="33"/>
      <c r="T243" s="33"/>
      <c r="U243" s="33"/>
    </row>
    <row r="244" spans="2:21">
      <c r="C244" s="25"/>
      <c r="D244" s="15" t="s">
        <v>1165</v>
      </c>
      <c r="L244" s="382"/>
      <c r="M244" s="38"/>
      <c r="N244" s="38"/>
      <c r="O244" s="33"/>
      <c r="P244" s="33"/>
      <c r="Q244" s="33"/>
      <c r="R244" s="33"/>
      <c r="S244" s="33"/>
      <c r="T244" s="33"/>
      <c r="U244" s="33"/>
    </row>
    <row r="245" spans="2:21">
      <c r="B245" s="15"/>
      <c r="D245" s="14"/>
      <c r="E245" s="7"/>
      <c r="F245" s="7"/>
      <c r="G245" s="8"/>
      <c r="H245" s="8"/>
      <c r="I245" s="8"/>
      <c r="J245" s="1089"/>
      <c r="K245" s="38"/>
      <c r="L245" s="38"/>
      <c r="M245" s="38"/>
      <c r="N245" s="38"/>
      <c r="O245" s="33"/>
      <c r="P245" s="33"/>
      <c r="Q245" s="33"/>
      <c r="R245" s="33"/>
      <c r="S245" s="33"/>
      <c r="T245" s="33"/>
      <c r="U245" s="33"/>
    </row>
    <row r="246" spans="2:21">
      <c r="B246" s="36" t="s">
        <v>324</v>
      </c>
      <c r="C246" s="25"/>
      <c r="D246" s="14" t="s">
        <v>109</v>
      </c>
      <c r="E246" s="7"/>
      <c r="F246" s="7"/>
      <c r="G246" s="8"/>
      <c r="H246" s="8"/>
      <c r="I246" s="8"/>
      <c r="J246" s="1089"/>
      <c r="K246" s="38"/>
      <c r="L246" s="38"/>
      <c r="M246" s="38"/>
      <c r="N246" s="38"/>
      <c r="O246" s="33"/>
      <c r="P246" s="33"/>
      <c r="Q246" s="33"/>
      <c r="R246" s="33"/>
      <c r="S246" s="33"/>
      <c r="T246" s="33"/>
      <c r="U246" s="33"/>
    </row>
    <row r="247" spans="2:21">
      <c r="B247" s="36"/>
      <c r="C247" s="32"/>
      <c r="D247" s="14" t="s">
        <v>110</v>
      </c>
      <c r="E247" s="7"/>
      <c r="F247" s="7"/>
      <c r="G247" s="7"/>
      <c r="H247" s="7"/>
      <c r="I247" s="7"/>
      <c r="J247" s="1098"/>
      <c r="K247" s="38"/>
      <c r="L247" s="38"/>
      <c r="M247" s="38"/>
      <c r="N247" s="38"/>
      <c r="O247" s="33"/>
      <c r="P247" s="33"/>
      <c r="Q247" s="33"/>
      <c r="R247" s="33"/>
      <c r="S247" s="33"/>
      <c r="T247" s="33"/>
      <c r="U247" s="33"/>
    </row>
    <row r="248" spans="2:21">
      <c r="B248" s="37"/>
      <c r="C248" s="5"/>
      <c r="D248" s="14" t="s">
        <v>112</v>
      </c>
      <c r="E248" s="34"/>
      <c r="F248" s="34"/>
      <c r="G248" s="7"/>
      <c r="H248" s="7"/>
      <c r="I248" s="7"/>
      <c r="J248" s="1098"/>
      <c r="K248" s="38"/>
      <c r="L248" s="38"/>
      <c r="M248" s="38"/>
      <c r="N248" s="38"/>
      <c r="O248" s="33"/>
      <c r="P248" s="33"/>
      <c r="Q248" s="33"/>
      <c r="R248" s="33"/>
      <c r="S248" s="33"/>
      <c r="T248" s="33"/>
      <c r="U248" s="33"/>
    </row>
    <row r="249" spans="2:21">
      <c r="B249" s="37"/>
      <c r="C249" s="5"/>
      <c r="D249" s="14" t="s">
        <v>113</v>
      </c>
      <c r="E249" s="7"/>
      <c r="F249" s="7"/>
      <c r="G249" s="7"/>
      <c r="H249" s="7"/>
      <c r="I249" s="7"/>
      <c r="J249" s="1098"/>
      <c r="K249" s="38"/>
      <c r="L249" s="38"/>
      <c r="M249" s="38"/>
      <c r="N249" s="38"/>
      <c r="O249" s="33"/>
      <c r="P249" s="33"/>
      <c r="Q249" s="33"/>
      <c r="R249" s="33"/>
      <c r="S249" s="33"/>
      <c r="T249" s="33"/>
      <c r="U249" s="33"/>
    </row>
    <row r="250" spans="2:21">
      <c r="B250" s="35"/>
      <c r="C250" s="30"/>
      <c r="D250" s="14" t="s">
        <v>1421</v>
      </c>
      <c r="E250" s="7"/>
      <c r="F250" s="7"/>
      <c r="G250" s="7"/>
      <c r="H250" s="7"/>
      <c r="I250" s="7"/>
      <c r="J250" s="1098"/>
      <c r="K250" s="38"/>
      <c r="L250" s="38"/>
      <c r="M250" s="38"/>
      <c r="N250" s="38"/>
      <c r="O250" s="33"/>
      <c r="P250" s="33"/>
      <c r="Q250" s="33"/>
      <c r="R250" s="33"/>
      <c r="S250" s="33"/>
      <c r="T250" s="33"/>
      <c r="U250" s="33"/>
    </row>
    <row r="251" spans="2:21" ht="15" customHeight="1">
      <c r="B251" s="35"/>
      <c r="C251" s="30"/>
      <c r="D251" s="14"/>
      <c r="E251" s="7"/>
      <c r="F251" s="7"/>
      <c r="G251" s="7"/>
      <c r="H251" s="7"/>
      <c r="I251" s="7"/>
      <c r="J251" s="1098"/>
      <c r="K251" s="38"/>
      <c r="L251" s="38"/>
      <c r="M251" s="38"/>
      <c r="N251" s="38"/>
      <c r="O251" s="33"/>
      <c r="P251" s="33"/>
      <c r="Q251" s="33"/>
      <c r="R251" s="33"/>
      <c r="S251" s="33"/>
      <c r="T251" s="33"/>
      <c r="U251" s="33"/>
    </row>
    <row r="252" spans="2:21">
      <c r="B252" s="35" t="s">
        <v>325</v>
      </c>
      <c r="C252" s="30"/>
      <c r="D252" s="52" t="s">
        <v>114</v>
      </c>
      <c r="E252" s="7"/>
      <c r="F252" s="7"/>
      <c r="G252" s="7"/>
      <c r="H252" s="7"/>
      <c r="I252" s="7"/>
      <c r="J252" s="1098"/>
      <c r="K252" s="38"/>
      <c r="L252" s="38"/>
      <c r="M252" s="38"/>
      <c r="N252" s="38"/>
      <c r="O252" s="33"/>
      <c r="P252" s="33"/>
      <c r="Q252" s="33"/>
      <c r="R252" s="33"/>
      <c r="S252" s="33"/>
      <c r="T252" s="33"/>
      <c r="U252" s="33"/>
    </row>
    <row r="253" spans="2:21">
      <c r="B253" s="35"/>
      <c r="C253" s="30"/>
      <c r="D253" s="52"/>
      <c r="E253" s="7"/>
      <c r="F253" s="7"/>
      <c r="G253" s="7"/>
      <c r="H253" s="7"/>
      <c r="I253" s="7"/>
      <c r="J253" s="1098"/>
      <c r="K253" s="38"/>
      <c r="L253" s="38"/>
      <c r="M253" s="38"/>
      <c r="N253" s="38"/>
      <c r="O253" s="33"/>
      <c r="P253" s="33"/>
      <c r="Q253" s="33"/>
      <c r="R253" s="33"/>
      <c r="S253" s="33"/>
      <c r="T253" s="33"/>
      <c r="U253" s="33"/>
    </row>
    <row r="254" spans="2:21">
      <c r="B254" s="35" t="s">
        <v>326</v>
      </c>
      <c r="C254" s="30"/>
      <c r="D254" s="52" t="s">
        <v>236</v>
      </c>
      <c r="E254" s="7"/>
      <c r="F254" s="7"/>
      <c r="G254" s="7"/>
      <c r="H254" s="7"/>
      <c r="I254" s="7"/>
      <c r="J254" s="1098"/>
      <c r="K254" s="38"/>
      <c r="L254" s="38"/>
      <c r="M254" s="38"/>
      <c r="N254" s="38"/>
      <c r="O254" s="33"/>
      <c r="P254" s="33"/>
      <c r="Q254" s="33"/>
      <c r="R254" s="33"/>
      <c r="S254" s="33"/>
      <c r="T254" s="33"/>
      <c r="U254" s="33"/>
    </row>
    <row r="255" spans="2:21">
      <c r="B255" s="35"/>
      <c r="C255" s="30"/>
      <c r="D255" s="52" t="str">
        <f>"of the trued-up revenue requirement for each project, based on an FCR rate calculated from inputs on this TCOS. Line "&amp;B34&amp;" shows the incremental ARR for"</f>
        <v>of the trued-up revenue requirement for each project, based on an FCR rate calculated from inputs on this TCOS. Line 13 shows the incremental ARR for</v>
      </c>
      <c r="E255" s="7"/>
      <c r="F255" s="7"/>
      <c r="G255" s="7"/>
      <c r="H255" s="7"/>
      <c r="I255" s="7"/>
      <c r="J255" s="1098"/>
      <c r="K255" s="38"/>
      <c r="L255" s="38"/>
      <c r="M255" s="38"/>
      <c r="N255" s="38"/>
      <c r="O255" s="33"/>
      <c r="P255" s="33"/>
      <c r="Q255" s="33"/>
      <c r="R255" s="33"/>
      <c r="S255" s="33"/>
      <c r="T255" s="33"/>
      <c r="U255" s="33"/>
    </row>
    <row r="256" spans="2:21">
      <c r="B256" s="35"/>
      <c r="C256" s="30"/>
      <c r="D256" s="52" t="s">
        <v>237</v>
      </c>
      <c r="E256" s="7"/>
      <c r="F256" s="7"/>
      <c r="G256" s="7"/>
      <c r="H256" s="7"/>
      <c r="I256" s="7"/>
      <c r="J256" s="1098"/>
      <c r="K256" s="38"/>
      <c r="L256" s="38"/>
      <c r="M256" s="38"/>
      <c r="N256" s="38"/>
      <c r="O256" s="33"/>
      <c r="P256" s="14"/>
      <c r="Q256" s="14"/>
      <c r="R256" s="33"/>
      <c r="S256" s="33"/>
      <c r="T256" s="33"/>
      <c r="U256" s="33"/>
    </row>
    <row r="257" spans="2:21">
      <c r="B257" s="35"/>
      <c r="C257" s="30"/>
      <c r="D257" s="52"/>
      <c r="E257" s="7"/>
      <c r="F257" s="7"/>
      <c r="G257" s="7"/>
      <c r="H257" s="7"/>
      <c r="I257" s="7"/>
      <c r="J257" s="1098"/>
      <c r="K257" s="38"/>
      <c r="L257" s="38"/>
      <c r="M257" s="38"/>
      <c r="N257" s="38"/>
      <c r="O257" s="33"/>
      <c r="P257" s="14"/>
      <c r="Q257" s="14"/>
      <c r="R257" s="33"/>
      <c r="S257" s="33"/>
      <c r="T257" s="33"/>
      <c r="U257" s="33"/>
    </row>
    <row r="258" spans="2:21">
      <c r="B258" s="35" t="s">
        <v>327</v>
      </c>
      <c r="C258" s="30"/>
      <c r="D258" s="1549" t="s">
        <v>1417</v>
      </c>
      <c r="E258" s="1548"/>
      <c r="F258" s="1548"/>
      <c r="G258" s="1548"/>
      <c r="H258" s="1548"/>
      <c r="I258" s="1548"/>
      <c r="J258" s="1548"/>
      <c r="K258" s="38"/>
      <c r="L258" s="38"/>
      <c r="M258" s="38"/>
      <c r="N258" s="38"/>
      <c r="O258" s="33"/>
      <c r="P258" s="14"/>
      <c r="Q258" s="14"/>
      <c r="R258" s="33"/>
      <c r="S258" s="33"/>
      <c r="T258" s="33"/>
      <c r="U258" s="33"/>
    </row>
    <row r="259" spans="2:21">
      <c r="B259" s="35"/>
      <c r="C259" s="30"/>
      <c r="D259" s="1548"/>
      <c r="E259" s="1548"/>
      <c r="F259" s="1548"/>
      <c r="G259" s="1548"/>
      <c r="H259" s="1548"/>
      <c r="I259" s="1548"/>
      <c r="J259" s="1548"/>
      <c r="K259" s="38"/>
      <c r="L259" s="38"/>
      <c r="M259" s="38"/>
      <c r="N259" s="38"/>
      <c r="O259" s="33"/>
      <c r="P259" s="14"/>
      <c r="Q259" s="33"/>
      <c r="R259" s="33"/>
      <c r="S259" s="33"/>
      <c r="T259" s="33"/>
      <c r="U259" s="33"/>
    </row>
    <row r="260" spans="2:21">
      <c r="B260" s="35"/>
      <c r="C260" s="30"/>
      <c r="E260" s="7"/>
      <c r="F260" s="7"/>
      <c r="G260" s="7"/>
      <c r="H260" s="7"/>
      <c r="I260" s="7"/>
      <c r="J260" s="1098"/>
      <c r="K260" s="38"/>
      <c r="L260" s="38"/>
      <c r="M260" s="38"/>
      <c r="N260" s="38"/>
      <c r="O260" s="33"/>
      <c r="P260" s="33"/>
      <c r="Q260" s="33"/>
      <c r="R260" s="33"/>
      <c r="S260" s="33"/>
      <c r="T260" s="33"/>
      <c r="U260" s="33"/>
    </row>
    <row r="261" spans="2:21">
      <c r="B261" s="35" t="s">
        <v>328</v>
      </c>
      <c r="C261" s="30"/>
      <c r="D261" s="14" t="s">
        <v>234</v>
      </c>
      <c r="E261" s="7"/>
      <c r="F261" s="7"/>
      <c r="G261" s="7"/>
      <c r="H261" s="7"/>
      <c r="I261" s="7"/>
      <c r="J261" s="1098"/>
      <c r="K261" s="38"/>
      <c r="L261" s="38"/>
      <c r="M261" s="38"/>
      <c r="N261" s="38"/>
      <c r="O261" s="33"/>
      <c r="P261" s="33"/>
      <c r="Q261" s="33"/>
      <c r="R261" s="33"/>
      <c r="S261" s="33"/>
      <c r="T261" s="33"/>
      <c r="U261" s="33"/>
    </row>
    <row r="262" spans="2:21">
      <c r="B262" s="35"/>
      <c r="C262" s="30"/>
      <c r="D262" s="14" t="s">
        <v>470</v>
      </c>
      <c r="E262" s="7"/>
      <c r="F262" s="7"/>
      <c r="G262" s="7"/>
      <c r="H262" s="7"/>
      <c r="I262" s="7"/>
      <c r="J262" s="1098"/>
      <c r="K262" s="38"/>
      <c r="L262" s="38"/>
      <c r="M262" s="38"/>
      <c r="N262" s="38"/>
      <c r="O262" s="33"/>
      <c r="P262" s="33"/>
      <c r="Q262" s="33"/>
      <c r="R262" s="33"/>
      <c r="S262" s="33"/>
      <c r="T262" s="33"/>
      <c r="U262" s="33"/>
    </row>
    <row r="263" spans="2:21">
      <c r="C263" s="30"/>
      <c r="D263" s="14" t="s">
        <v>1126</v>
      </c>
      <c r="E263" s="7"/>
      <c r="F263" s="7"/>
      <c r="G263" s="7"/>
      <c r="H263" s="7"/>
      <c r="I263" s="7"/>
      <c r="J263" s="1098"/>
      <c r="K263" s="38"/>
      <c r="L263" s="38"/>
      <c r="M263" s="38"/>
      <c r="N263" s="38"/>
      <c r="O263" s="33"/>
      <c r="P263" s="33"/>
      <c r="Q263" s="33"/>
      <c r="R263" s="33"/>
      <c r="S263" s="33"/>
      <c r="T263" s="33"/>
      <c r="U263" s="33"/>
    </row>
    <row r="264" spans="2:21">
      <c r="B264" s="35"/>
      <c r="C264" s="30"/>
      <c r="D264" s="14" t="s">
        <v>235</v>
      </c>
      <c r="E264" s="7"/>
      <c r="F264" s="7"/>
      <c r="G264" s="7"/>
      <c r="H264" s="7"/>
      <c r="I264" s="7"/>
      <c r="J264" s="1098"/>
      <c r="K264" s="38"/>
      <c r="L264" s="38"/>
      <c r="M264" s="38"/>
      <c r="N264" s="38"/>
      <c r="O264" s="33"/>
      <c r="P264" s="33"/>
      <c r="Q264" s="33"/>
      <c r="R264" s="33"/>
      <c r="S264" s="33"/>
      <c r="T264" s="33"/>
      <c r="U264" s="33"/>
    </row>
    <row r="265" spans="2:21">
      <c r="B265" s="35"/>
      <c r="C265" s="30"/>
      <c r="D265" s="14"/>
      <c r="E265" s="7"/>
      <c r="F265" s="7"/>
      <c r="G265" s="7"/>
      <c r="H265" s="7"/>
      <c r="I265" s="7"/>
      <c r="J265" s="1098"/>
      <c r="K265" s="38"/>
      <c r="L265" s="38"/>
      <c r="M265" s="38"/>
      <c r="N265" s="38"/>
      <c r="O265" s="33"/>
      <c r="P265" s="33"/>
      <c r="Q265" s="33"/>
      <c r="R265" s="33"/>
      <c r="S265" s="33"/>
      <c r="T265" s="33"/>
      <c r="U265" s="33"/>
    </row>
    <row r="266" spans="2:21">
      <c r="B266" s="35" t="s">
        <v>329</v>
      </c>
      <c r="C266" s="30"/>
      <c r="D266" s="14" t="s">
        <v>160</v>
      </c>
      <c r="E266" s="7"/>
      <c r="F266" s="7"/>
      <c r="G266" s="7"/>
      <c r="H266" s="7"/>
      <c r="I266" s="7"/>
      <c r="J266" s="1098"/>
      <c r="K266" s="38"/>
      <c r="L266" s="38"/>
      <c r="M266" s="38"/>
      <c r="N266" s="38"/>
      <c r="O266" s="33"/>
      <c r="P266" s="33"/>
      <c r="Q266" s="33"/>
      <c r="R266" s="33"/>
      <c r="S266" s="33"/>
      <c r="T266" s="33"/>
      <c r="U266" s="33"/>
    </row>
    <row r="267" spans="2:21">
      <c r="B267" s="35"/>
      <c r="C267" s="30"/>
      <c r="D267" s="14"/>
      <c r="E267" s="7"/>
      <c r="F267" s="7"/>
      <c r="G267" s="7"/>
      <c r="H267" s="7"/>
      <c r="I267" s="7"/>
      <c r="J267" s="1098"/>
      <c r="K267" s="38"/>
      <c r="L267" s="38"/>
      <c r="M267" s="38"/>
      <c r="N267" s="38"/>
      <c r="O267" s="33"/>
      <c r="P267" s="33"/>
      <c r="Q267" s="33"/>
      <c r="R267" s="33"/>
      <c r="S267" s="33"/>
      <c r="T267" s="33"/>
      <c r="U267" s="33"/>
    </row>
    <row r="268" spans="2:21">
      <c r="B268" s="35" t="s">
        <v>330</v>
      </c>
      <c r="C268" s="30"/>
      <c r="D268" s="14" t="str">
        <f>"Cash Working Capital assigned to transmission is one-eighth of O&amp;M allocated to transmission on line "&amp;B130&amp;"."</f>
        <v>Cash Working Capital assigned to transmission is one-eighth of O&amp;M allocated to transmission on line 68.</v>
      </c>
      <c r="E268" s="7"/>
      <c r="F268" s="7"/>
      <c r="G268" s="7"/>
      <c r="H268" s="7"/>
      <c r="I268" s="7"/>
      <c r="J268" s="1098"/>
      <c r="K268" s="38"/>
      <c r="L268" s="38"/>
      <c r="M268" s="38"/>
      <c r="N268" s="38"/>
      <c r="O268" s="33"/>
      <c r="P268" s="33"/>
      <c r="Q268" s="33"/>
      <c r="R268" s="33"/>
      <c r="S268" s="33"/>
      <c r="T268" s="33"/>
      <c r="U268" s="33"/>
    </row>
    <row r="269" spans="2:21">
      <c r="B269" s="35"/>
      <c r="C269" s="30"/>
      <c r="D269" s="14"/>
      <c r="E269" s="7"/>
      <c r="F269" s="7"/>
      <c r="G269" s="7"/>
      <c r="H269" s="7"/>
      <c r="I269" s="7"/>
      <c r="J269" s="1098"/>
      <c r="K269" s="38"/>
      <c r="L269" s="38"/>
      <c r="M269" s="38"/>
      <c r="N269" s="38"/>
      <c r="O269" s="33"/>
      <c r="P269" s="33"/>
      <c r="Q269" s="33"/>
      <c r="R269" s="33"/>
      <c r="S269" s="33"/>
      <c r="T269" s="33"/>
      <c r="U269" s="33"/>
    </row>
    <row r="270" spans="2:21">
      <c r="B270" s="36" t="s">
        <v>331</v>
      </c>
      <c r="C270" s="32"/>
      <c r="D270" s="5" t="str">
        <f>"Consistent with Paragraph 657 of Order 2003-A, the amount on line "&amp;B113&amp;" is equal to the balance of IPP System Upgrade Credits owed to transmission customers that"</f>
        <v>Consistent with Paragraph 657 of Order 2003-A, the amount on line  is equal to the balance of IPP System Upgrade Credits owed to transmission customers that</v>
      </c>
      <c r="E270" s="5"/>
      <c r="F270" s="5"/>
      <c r="G270" s="5"/>
      <c r="H270" s="5"/>
      <c r="I270" s="5"/>
      <c r="J270" s="1089"/>
      <c r="K270" s="38"/>
      <c r="L270" s="38"/>
      <c r="M270" s="38"/>
      <c r="N270" s="38"/>
      <c r="O270" s="33"/>
      <c r="P270" s="33"/>
      <c r="Q270" s="33"/>
      <c r="R270" s="33"/>
      <c r="S270" s="33"/>
      <c r="T270" s="33"/>
      <c r="U270" s="33"/>
    </row>
    <row r="271" spans="2:21">
      <c r="B271" s="37"/>
      <c r="C271" s="5"/>
      <c r="D271" s="5" t="s">
        <v>404</v>
      </c>
      <c r="E271" s="5"/>
      <c r="F271" s="5"/>
      <c r="G271" s="5"/>
      <c r="H271" s="5"/>
      <c r="I271" s="5"/>
      <c r="J271" s="1089"/>
      <c r="K271" s="38"/>
      <c r="L271" s="38"/>
      <c r="M271" s="38"/>
      <c r="N271" s="38"/>
      <c r="O271" s="33"/>
      <c r="P271" s="33"/>
      <c r="Q271" s="33"/>
      <c r="R271" s="33"/>
      <c r="S271" s="33"/>
      <c r="T271" s="33"/>
      <c r="U271" s="33"/>
    </row>
    <row r="272" spans="2:21">
      <c r="B272" s="37"/>
      <c r="C272" s="5"/>
      <c r="D272" s="5" t="str">
        <f>"expense is included on line "&amp;B182&amp;"."</f>
        <v>expense is included on line 111.</v>
      </c>
      <c r="E272" s="5"/>
      <c r="F272" s="5"/>
      <c r="G272" s="5"/>
      <c r="H272" s="5"/>
      <c r="I272" s="5"/>
      <c r="J272" s="1089"/>
      <c r="K272" s="38"/>
      <c r="L272" s="38"/>
      <c r="M272" s="38"/>
      <c r="N272" s="38"/>
      <c r="O272" s="33"/>
      <c r="P272" s="33"/>
      <c r="Q272" s="33"/>
      <c r="R272" s="33"/>
      <c r="S272" s="33"/>
      <c r="T272" s="33"/>
      <c r="U272" s="33"/>
    </row>
    <row r="273" spans="2:21">
      <c r="B273" s="37"/>
      <c r="C273" s="5"/>
      <c r="D273" s="5"/>
      <c r="E273" s="5"/>
      <c r="F273" s="5"/>
      <c r="G273" s="5"/>
      <c r="H273" s="5"/>
      <c r="I273" s="5"/>
      <c r="J273" s="1089"/>
      <c r="K273" s="38"/>
      <c r="L273" s="38"/>
      <c r="M273" s="38"/>
      <c r="N273" s="38"/>
      <c r="O273" s="33"/>
      <c r="P273" s="33"/>
      <c r="Q273" s="33"/>
      <c r="R273" s="33"/>
      <c r="S273" s="33"/>
      <c r="T273" s="33"/>
      <c r="U273" s="33"/>
    </row>
    <row r="274" spans="2:21" ht="20.25" customHeight="1">
      <c r="B274" s="36" t="s">
        <v>332</v>
      </c>
      <c r="C274" s="5"/>
      <c r="D274" s="1546" t="str">
        <f>"Line "&amp;B127&amp;"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4" s="1546"/>
      <c r="F274" s="1546"/>
      <c r="G274" s="1546"/>
      <c r="H274" s="1546"/>
      <c r="I274" s="1546"/>
      <c r="J274" s="1546"/>
      <c r="K274" s="38"/>
      <c r="L274" s="38"/>
      <c r="M274" s="38"/>
      <c r="N274" s="38"/>
      <c r="O274" s="33"/>
      <c r="P274" s="33"/>
      <c r="Q274" s="33"/>
      <c r="R274" s="33"/>
      <c r="S274" s="33"/>
      <c r="T274" s="33"/>
      <c r="U274" s="33"/>
    </row>
    <row r="275" spans="2:21">
      <c r="B275" s="36"/>
      <c r="C275" s="5"/>
      <c r="D275" s="14"/>
      <c r="E275" s="5"/>
      <c r="F275" s="5"/>
      <c r="G275" s="5"/>
      <c r="H275" s="5"/>
      <c r="I275" s="5"/>
      <c r="J275" s="1089"/>
      <c r="K275" s="38"/>
      <c r="L275" s="38"/>
      <c r="M275" s="38"/>
      <c r="N275" s="38"/>
      <c r="O275" s="33"/>
      <c r="P275" s="33"/>
      <c r="Q275" s="33"/>
      <c r="R275" s="33"/>
      <c r="S275" s="33"/>
      <c r="T275" s="33"/>
      <c r="U275" s="33"/>
    </row>
    <row r="276" spans="2:21">
      <c r="B276" s="36" t="s">
        <v>333</v>
      </c>
      <c r="C276" s="5"/>
      <c r="D276" s="5" t="s">
        <v>161</v>
      </c>
      <c r="E276" s="5"/>
      <c r="F276" s="5"/>
      <c r="G276" s="5"/>
      <c r="H276" s="5"/>
      <c r="I276" s="5"/>
      <c r="J276" s="1089"/>
      <c r="K276" s="38"/>
      <c r="L276" s="38"/>
      <c r="M276" s="38"/>
      <c r="N276" s="38"/>
      <c r="O276" s="33"/>
      <c r="P276" s="33"/>
      <c r="Q276" s="33"/>
      <c r="R276" s="33"/>
      <c r="S276" s="33"/>
      <c r="T276" s="33"/>
      <c r="U276" s="33"/>
    </row>
    <row r="277" spans="2:21">
      <c r="B277" s="36"/>
      <c r="C277" s="5"/>
      <c r="D277" s="5"/>
      <c r="E277" s="5"/>
      <c r="F277" s="5"/>
      <c r="G277" s="5"/>
      <c r="H277" s="5"/>
      <c r="I277" s="5"/>
      <c r="J277" s="1089"/>
      <c r="K277" s="38"/>
      <c r="L277" s="38"/>
      <c r="M277" s="38"/>
      <c r="N277" s="38"/>
      <c r="O277" s="33"/>
      <c r="P277" s="33"/>
      <c r="Q277" s="33"/>
      <c r="R277" s="33"/>
      <c r="S277" s="33"/>
      <c r="T277" s="33"/>
      <c r="U277" s="33"/>
    </row>
    <row r="278" spans="2:21">
      <c r="B278" s="35" t="s">
        <v>334</v>
      </c>
      <c r="C278" s="5"/>
      <c r="D278" s="5" t="s">
        <v>1427</v>
      </c>
      <c r="E278" s="5"/>
      <c r="F278" s="5"/>
      <c r="G278" s="5"/>
      <c r="H278" s="5"/>
      <c r="I278" s="5"/>
      <c r="J278" s="1089"/>
      <c r="K278" s="38"/>
      <c r="L278" s="38"/>
      <c r="M278" s="38"/>
      <c r="N278" s="38"/>
      <c r="O278" s="33"/>
      <c r="P278" s="33"/>
      <c r="Q278" s="33"/>
      <c r="R278" s="33"/>
      <c r="S278" s="33"/>
      <c r="T278" s="33"/>
      <c r="U278" s="33"/>
    </row>
    <row r="279" spans="2:21">
      <c r="B279" s="36"/>
      <c r="C279" s="5"/>
      <c r="D279" s="5"/>
      <c r="E279" s="5"/>
      <c r="F279" s="5"/>
      <c r="G279" s="5"/>
      <c r="H279" s="5"/>
      <c r="I279" s="5"/>
      <c r="J279" s="1089"/>
      <c r="K279" s="38"/>
      <c r="L279" s="38"/>
      <c r="M279" s="38"/>
      <c r="N279" s="38"/>
      <c r="O279" s="33"/>
      <c r="P279" s="33"/>
      <c r="Q279" s="33"/>
      <c r="R279" s="33"/>
      <c r="S279" s="33"/>
      <c r="T279" s="33"/>
      <c r="U279" s="33"/>
    </row>
    <row r="280" spans="2:21">
      <c r="B280" s="35" t="s">
        <v>335</v>
      </c>
      <c r="C280" s="30"/>
      <c r="D280" s="14" t="s">
        <v>1416</v>
      </c>
      <c r="E280" s="7"/>
      <c r="F280" s="7"/>
      <c r="G280" s="7"/>
      <c r="H280" s="7"/>
      <c r="I280" s="7"/>
      <c r="J280" s="1098"/>
      <c r="K280" s="38"/>
      <c r="L280" s="38"/>
      <c r="M280" s="38"/>
      <c r="N280" s="38"/>
      <c r="O280" s="33"/>
      <c r="P280" s="33"/>
      <c r="Q280" s="33"/>
      <c r="R280" s="33"/>
      <c r="S280" s="33"/>
      <c r="T280" s="33"/>
      <c r="U280" s="33"/>
    </row>
    <row r="281" spans="2:21">
      <c r="B281" s="35"/>
      <c r="C281" s="30"/>
      <c r="D281" s="14" t="s">
        <v>162</v>
      </c>
      <c r="E281" s="7"/>
      <c r="F281" s="7"/>
      <c r="G281" s="7"/>
      <c r="H281" s="7"/>
      <c r="I281" s="7"/>
      <c r="J281" s="1098"/>
      <c r="K281" s="38"/>
      <c r="L281" s="38"/>
      <c r="M281" s="38"/>
      <c r="N281" s="38"/>
      <c r="O281" s="33"/>
      <c r="P281" s="33"/>
      <c r="Q281" s="33"/>
      <c r="R281" s="33"/>
      <c r="S281" s="33"/>
      <c r="T281" s="33"/>
      <c r="U281" s="33"/>
    </row>
    <row r="282" spans="2:21">
      <c r="B282" s="35"/>
      <c r="C282" s="30"/>
      <c r="D282" s="14" t="s">
        <v>163</v>
      </c>
      <c r="E282" s="7"/>
      <c r="F282" s="7"/>
      <c r="G282" s="7"/>
      <c r="H282" s="7"/>
      <c r="I282" s="7"/>
      <c r="J282" s="1098"/>
      <c r="K282" s="38"/>
      <c r="L282" s="38"/>
      <c r="M282" s="38"/>
      <c r="N282" s="38"/>
      <c r="O282" s="33"/>
      <c r="P282" s="33"/>
      <c r="Q282" s="33"/>
      <c r="R282" s="33"/>
      <c r="S282" s="33"/>
      <c r="T282" s="33"/>
      <c r="U282" s="33"/>
    </row>
    <row r="283" spans="2:21">
      <c r="B283" s="35"/>
      <c r="C283" s="30"/>
      <c r="D283" s="5" t="s">
        <v>1418</v>
      </c>
      <c r="E283" s="7"/>
      <c r="F283" s="7"/>
      <c r="G283" s="7"/>
      <c r="H283" s="7"/>
      <c r="I283" s="7"/>
      <c r="J283" s="1098"/>
      <c r="K283" s="38"/>
      <c r="L283" s="38"/>
      <c r="M283" s="38"/>
      <c r="N283" s="38"/>
      <c r="O283" s="33"/>
      <c r="P283" s="33"/>
      <c r="Q283" s="33"/>
      <c r="R283" s="33"/>
      <c r="S283" s="33"/>
      <c r="T283" s="33"/>
      <c r="U283" s="33"/>
    </row>
    <row r="284" spans="2:21">
      <c r="B284" s="35"/>
      <c r="C284" s="30"/>
      <c r="D284" s="5"/>
      <c r="E284" s="7"/>
      <c r="F284" s="7"/>
      <c r="G284" s="7"/>
      <c r="H284" s="7"/>
      <c r="I284" s="7"/>
      <c r="J284" s="1098"/>
      <c r="K284" s="38"/>
      <c r="L284" s="38"/>
      <c r="M284" s="38"/>
      <c r="N284" s="38"/>
      <c r="O284" s="33"/>
      <c r="P284" s="33"/>
      <c r="Q284" s="33"/>
      <c r="R284" s="33"/>
      <c r="S284" s="33"/>
      <c r="T284" s="33"/>
      <c r="U284" s="33"/>
    </row>
    <row r="285" spans="2:21" ht="62.25" customHeight="1">
      <c r="B285" s="664" t="s">
        <v>336</v>
      </c>
      <c r="C285" s="30"/>
      <c r="D285" s="1543" t="s">
        <v>1419</v>
      </c>
      <c r="E285" s="1543"/>
      <c r="F285" s="1543"/>
      <c r="G285" s="1543"/>
      <c r="H285" s="1543"/>
      <c r="I285" s="1543"/>
      <c r="J285" s="1543"/>
      <c r="K285" s="38"/>
      <c r="L285" s="38"/>
      <c r="M285" s="38"/>
      <c r="N285" s="38"/>
      <c r="O285" s="33"/>
      <c r="P285" s="33"/>
      <c r="Q285" s="33"/>
      <c r="R285" s="33"/>
      <c r="S285" s="33"/>
      <c r="T285" s="33"/>
      <c r="U285" s="33"/>
    </row>
    <row r="286" spans="2:21">
      <c r="B286" s="73"/>
      <c r="C286" s="30"/>
      <c r="D286" s="5"/>
      <c r="E286" s="7"/>
      <c r="F286" s="7"/>
      <c r="G286" s="7"/>
      <c r="H286" s="7"/>
      <c r="I286" s="7"/>
      <c r="J286" s="1098"/>
      <c r="K286" s="38"/>
      <c r="L286" s="38"/>
      <c r="M286" s="38"/>
      <c r="N286" s="38"/>
      <c r="O286" s="33"/>
      <c r="P286" s="33"/>
      <c r="Q286" s="33"/>
      <c r="R286" s="33"/>
      <c r="S286" s="33"/>
      <c r="T286" s="33"/>
      <c r="U286" s="33"/>
    </row>
    <row r="287" spans="2:21" ht="30.75" customHeight="1">
      <c r="B287" s="664" t="s">
        <v>416</v>
      </c>
      <c r="C287" s="30"/>
      <c r="D287" s="1545" t="s">
        <v>1127</v>
      </c>
      <c r="E287" s="1545"/>
      <c r="F287" s="1545"/>
      <c r="G287" s="1545"/>
      <c r="H287" s="1545"/>
      <c r="I287" s="1545"/>
      <c r="J287" s="1545"/>
      <c r="K287" s="38"/>
      <c r="L287" s="38"/>
      <c r="M287" s="38"/>
      <c r="N287" s="38"/>
      <c r="O287" s="33"/>
      <c r="P287" s="33"/>
      <c r="Q287" s="33"/>
      <c r="R287" s="33"/>
      <c r="S287" s="33"/>
      <c r="T287" s="33"/>
      <c r="U287" s="33"/>
    </row>
    <row r="288" spans="2:21">
      <c r="C288" s="30"/>
      <c r="D288" s="313"/>
      <c r="E288" s="313"/>
      <c r="F288" s="313"/>
      <c r="G288" s="313"/>
      <c r="H288" s="313"/>
      <c r="I288" s="313"/>
      <c r="J288" s="313"/>
      <c r="K288" s="38"/>
      <c r="L288" s="38"/>
      <c r="M288" s="38"/>
      <c r="N288" s="38"/>
      <c r="O288" s="33"/>
      <c r="P288" s="33"/>
      <c r="Q288" s="33"/>
      <c r="R288" s="33"/>
      <c r="S288" s="33"/>
      <c r="T288" s="33"/>
      <c r="U288" s="33"/>
    </row>
    <row r="289" spans="2:21">
      <c r="B289" s="35" t="s">
        <v>437</v>
      </c>
      <c r="C289" s="30"/>
      <c r="D289" s="14" t="s">
        <v>458</v>
      </c>
      <c r="E289" s="7"/>
      <c r="F289" s="7"/>
      <c r="G289" s="7"/>
      <c r="H289" s="7"/>
      <c r="I289" s="7"/>
      <c r="J289" s="1098"/>
      <c r="K289" s="38"/>
      <c r="L289" s="38"/>
      <c r="M289" s="38"/>
      <c r="N289" s="38"/>
      <c r="O289" s="33"/>
      <c r="P289" s="33"/>
      <c r="Q289" s="33"/>
      <c r="R289" s="33"/>
      <c r="S289" s="33"/>
      <c r="T289" s="33"/>
      <c r="U289" s="33"/>
    </row>
    <row r="290" spans="2:21">
      <c r="B290" s="35"/>
      <c r="C290" s="30"/>
      <c r="D290" s="14" t="s">
        <v>6</v>
      </c>
      <c r="E290" s="7"/>
      <c r="F290" s="7"/>
      <c r="G290" s="7"/>
      <c r="H290" s="7"/>
      <c r="I290" s="7"/>
      <c r="J290" s="1098"/>
      <c r="K290" s="38"/>
      <c r="L290" s="38"/>
      <c r="M290" s="38"/>
      <c r="N290" s="38"/>
      <c r="O290" s="33"/>
      <c r="P290" s="33"/>
      <c r="Q290" s="33"/>
      <c r="R290" s="33"/>
      <c r="S290" s="33"/>
      <c r="T290" s="33"/>
      <c r="U290" s="33"/>
    </row>
    <row r="291" spans="2:21">
      <c r="B291" s="35"/>
      <c r="C291" s="30"/>
      <c r="D291" s="14" t="s">
        <v>7</v>
      </c>
      <c r="E291" s="7"/>
      <c r="F291" s="7"/>
      <c r="G291" s="7"/>
      <c r="H291" s="7"/>
      <c r="I291" s="7"/>
      <c r="J291" s="1098"/>
      <c r="K291" s="38"/>
      <c r="L291" s="38"/>
      <c r="M291" s="38"/>
      <c r="N291" s="38"/>
      <c r="O291" s="33"/>
      <c r="P291" s="33"/>
      <c r="Q291" s="33"/>
      <c r="R291" s="33"/>
      <c r="S291" s="33"/>
      <c r="T291" s="33"/>
      <c r="U291" s="33"/>
    </row>
    <row r="292" spans="2:21">
      <c r="B292" s="35"/>
      <c r="C292" s="30"/>
      <c r="D292" s="14" t="s">
        <v>8</v>
      </c>
      <c r="E292" s="7"/>
      <c r="F292" s="7"/>
      <c r="G292" s="7"/>
      <c r="H292" s="7"/>
      <c r="I292" s="7"/>
      <c r="J292" s="1098"/>
      <c r="K292" s="38"/>
      <c r="L292" s="38"/>
      <c r="M292" s="38"/>
      <c r="N292" s="38"/>
      <c r="O292" s="33"/>
      <c r="P292" s="33"/>
      <c r="Q292" s="33"/>
      <c r="R292" s="33"/>
      <c r="S292" s="33"/>
      <c r="T292" s="33"/>
      <c r="U292" s="33"/>
    </row>
    <row r="293" spans="2:21">
      <c r="B293" s="35"/>
      <c r="C293" s="30"/>
      <c r="D293" s="14" t="s">
        <v>9</v>
      </c>
      <c r="E293" s="7"/>
      <c r="F293" s="7"/>
      <c r="G293" s="7"/>
      <c r="H293" s="7"/>
      <c r="I293" s="7"/>
      <c r="J293" s="1098"/>
      <c r="K293" s="38"/>
      <c r="L293" s="38"/>
      <c r="M293" s="38"/>
      <c r="N293" s="38"/>
      <c r="O293" s="33"/>
      <c r="P293" s="33"/>
      <c r="Q293" s="33"/>
      <c r="R293" s="33"/>
      <c r="S293" s="33"/>
      <c r="T293" s="33"/>
      <c r="U293" s="33"/>
    </row>
    <row r="294" spans="2:21">
      <c r="B294" s="35"/>
      <c r="C294" s="30"/>
      <c r="D294" s="14" t="str">
        <f>"(ln "&amp;B164&amp;") multiplied by (1/1-T) .  If the applicable tax rates are zero enter 0."</f>
        <v>(ln 97) multiplied by (1/1-T) .  If the applicable tax rates are zero enter 0.</v>
      </c>
      <c r="E294" s="7"/>
      <c r="F294" s="7"/>
      <c r="G294" s="7"/>
      <c r="H294" s="7"/>
      <c r="I294" s="7"/>
      <c r="J294" s="1098"/>
      <c r="K294" s="38"/>
      <c r="L294" s="38"/>
      <c r="M294" s="38"/>
      <c r="N294" s="38"/>
      <c r="O294" s="33"/>
      <c r="P294" s="33"/>
      <c r="Q294" s="33"/>
      <c r="R294" s="33"/>
      <c r="S294" s="33"/>
      <c r="T294" s="33"/>
      <c r="U294" s="33"/>
    </row>
    <row r="295" spans="2:21">
      <c r="B295" s="35" t="s">
        <v>291</v>
      </c>
      <c r="C295" s="30"/>
      <c r="D295" s="14" t="s">
        <v>10</v>
      </c>
      <c r="E295" s="7" t="s">
        <v>11</v>
      </c>
      <c r="F295" s="1099">
        <v>0.21</v>
      </c>
      <c r="G295" s="7"/>
      <c r="I295" s="7"/>
      <c r="J295" s="1098"/>
      <c r="K295" s="38"/>
      <c r="L295" s="38"/>
      <c r="M295" s="38"/>
      <c r="N295" s="38"/>
      <c r="O295" s="33"/>
      <c r="P295" s="33"/>
      <c r="Q295" s="33"/>
      <c r="R295" s="33"/>
      <c r="S295" s="33"/>
      <c r="T295" s="33"/>
      <c r="U295" s="33"/>
    </row>
    <row r="296" spans="2:21">
      <c r="B296" s="35"/>
      <c r="C296" s="30"/>
      <c r="D296" s="14"/>
      <c r="E296" s="7" t="s">
        <v>12</v>
      </c>
      <c r="F296" s="34">
        <f>+'SWEPCO WS K State Taxes'!F28</f>
        <v>4.7100000000000003E-2</v>
      </c>
      <c r="G296" s="7" t="s">
        <v>137</v>
      </c>
      <c r="I296" s="7"/>
      <c r="J296" s="1098"/>
      <c r="K296" s="38"/>
      <c r="L296" s="38"/>
      <c r="M296" s="38"/>
      <c r="N296" s="38"/>
      <c r="O296" s="33"/>
      <c r="P296" s="33"/>
      <c r="Q296" s="33"/>
      <c r="R296" s="33"/>
      <c r="S296" s="33"/>
      <c r="T296" s="33"/>
      <c r="U296" s="33"/>
    </row>
    <row r="297" spans="2:21">
      <c r="B297" s="35"/>
      <c r="C297" s="30"/>
      <c r="D297" s="14"/>
      <c r="E297" s="7" t="s">
        <v>13</v>
      </c>
      <c r="F297" s="1099">
        <v>0</v>
      </c>
      <c r="G297" s="7" t="s">
        <v>14</v>
      </c>
      <c r="I297" s="7"/>
      <c r="J297" s="1098"/>
      <c r="K297" s="38"/>
      <c r="L297" s="38"/>
      <c r="M297" s="38"/>
      <c r="N297" s="38"/>
      <c r="O297" s="33"/>
      <c r="P297" s="33"/>
      <c r="Q297" s="33"/>
      <c r="R297" s="33"/>
      <c r="S297" s="33"/>
      <c r="T297" s="33"/>
      <c r="U297" s="33"/>
    </row>
    <row r="298" spans="2:21" ht="73.5" customHeight="1">
      <c r="B298" s="35"/>
      <c r="C298" s="30"/>
      <c r="D298" s="1544" t="s">
        <v>1428</v>
      </c>
      <c r="E298" s="1544"/>
      <c r="F298" s="1544"/>
      <c r="G298" s="1544"/>
      <c r="H298" s="1544"/>
      <c r="I298" s="1544"/>
      <c r="J298" s="1544"/>
      <c r="K298" s="663"/>
      <c r="L298" s="663"/>
      <c r="M298" s="38"/>
      <c r="N298" s="38"/>
      <c r="O298" s="33"/>
      <c r="P298" s="33"/>
      <c r="Q298" s="33"/>
      <c r="R298" s="33"/>
      <c r="S298" s="33"/>
      <c r="T298" s="33"/>
      <c r="U298" s="33"/>
    </row>
    <row r="299" spans="2:21">
      <c r="B299" s="35"/>
      <c r="C299" s="30"/>
      <c r="D299" s="14"/>
      <c r="E299" s="7"/>
      <c r="F299" s="34"/>
      <c r="G299" s="7"/>
      <c r="I299" s="7"/>
      <c r="J299" s="1098"/>
      <c r="K299" s="38"/>
      <c r="L299" s="38"/>
      <c r="M299" s="38"/>
      <c r="N299" s="38"/>
      <c r="O299" s="33"/>
      <c r="P299" s="33"/>
      <c r="Q299" s="33"/>
      <c r="R299" s="33"/>
      <c r="S299" s="33"/>
      <c r="T299" s="33"/>
      <c r="U299" s="33"/>
    </row>
    <row r="300" spans="2:21">
      <c r="B300" s="35"/>
      <c r="C300" s="30"/>
      <c r="D300" s="14"/>
      <c r="E300" s="7"/>
      <c r="F300" s="34"/>
      <c r="G300" s="7"/>
      <c r="I300" s="7"/>
      <c r="J300" s="1098"/>
      <c r="K300" s="38"/>
      <c r="L300" s="38"/>
      <c r="M300" s="38"/>
      <c r="N300" s="38"/>
      <c r="O300" s="33"/>
      <c r="P300" s="33"/>
      <c r="Q300" s="33"/>
      <c r="R300" s="33"/>
      <c r="S300" s="33"/>
      <c r="T300" s="33"/>
      <c r="U300" s="33"/>
    </row>
    <row r="301" spans="2:21">
      <c r="B301" s="35" t="s">
        <v>15</v>
      </c>
      <c r="C301" s="30"/>
      <c r="D301" s="14" t="s">
        <v>1420</v>
      </c>
      <c r="E301" s="7"/>
      <c r="F301" s="7"/>
      <c r="G301" s="34"/>
      <c r="H301" s="7"/>
      <c r="I301" s="7"/>
      <c r="J301" s="1098"/>
      <c r="K301" s="38"/>
      <c r="L301" s="38"/>
      <c r="M301" s="38"/>
      <c r="N301" s="38"/>
      <c r="O301" s="33"/>
      <c r="P301" s="33"/>
      <c r="Q301" s="33"/>
      <c r="R301" s="33"/>
      <c r="S301" s="33"/>
      <c r="T301" s="33"/>
      <c r="U301" s="33"/>
    </row>
    <row r="302" spans="2:21">
      <c r="B302" s="35"/>
      <c r="C302" s="30"/>
      <c r="D302" s="14" t="s">
        <v>0</v>
      </c>
      <c r="E302" s="7"/>
      <c r="F302" s="7"/>
      <c r="G302" s="34"/>
      <c r="H302" s="7"/>
      <c r="I302" s="7"/>
      <c r="J302" s="1098"/>
      <c r="K302" s="38"/>
      <c r="L302" s="38"/>
      <c r="M302" s="38"/>
      <c r="N302" s="38"/>
      <c r="O302" s="33"/>
      <c r="P302" s="33"/>
      <c r="Q302" s="33"/>
      <c r="R302" s="33"/>
      <c r="S302" s="33"/>
      <c r="T302" s="33"/>
      <c r="U302" s="33"/>
    </row>
    <row r="303" spans="2:21">
      <c r="B303" s="35"/>
      <c r="C303" s="30"/>
      <c r="D303" s="14"/>
      <c r="E303" s="7"/>
      <c r="F303" s="7"/>
      <c r="G303" s="34"/>
      <c r="H303" s="7"/>
      <c r="I303" s="7"/>
      <c r="J303" s="1098"/>
      <c r="K303" s="38"/>
      <c r="L303" s="38"/>
      <c r="M303" s="38"/>
      <c r="N303" s="38"/>
      <c r="O303" s="33"/>
      <c r="P303" s="33"/>
      <c r="Q303" s="33"/>
      <c r="R303" s="33"/>
      <c r="S303" s="33"/>
      <c r="T303" s="33"/>
      <c r="U303" s="33"/>
    </row>
    <row r="304" spans="2:21" ht="36" customHeight="1">
      <c r="B304" s="1061" t="s">
        <v>16</v>
      </c>
      <c r="C304" s="1062"/>
      <c r="D304" s="1543" t="str">
        <f>"Removes plant excluded from the OATT because it does not meet the SPP's definition of Transmission Facilities or is otherwise ineligible to be recovered under the OATT, other than Transmission Serving Generation which is removed at Worksheet A. See Note "&amp;B314&amp;"."</f>
        <v>Removes plant excluded from the OATT because it does not meet the SPP's definition of Transmission Facilities or is otherwise ineligible to be recovered under the OATT, other than Transmission Serving Generation which is removed at Worksheet A. See Note U.</v>
      </c>
      <c r="E304" s="1543"/>
      <c r="F304" s="1543"/>
      <c r="G304" s="1543"/>
      <c r="H304" s="1543"/>
      <c r="I304" s="1543"/>
      <c r="J304" s="1543"/>
      <c r="K304" s="38"/>
      <c r="L304" s="38"/>
      <c r="M304" s="38"/>
      <c r="N304" s="38"/>
      <c r="O304" s="33"/>
      <c r="P304" s="33"/>
      <c r="Q304" s="33"/>
      <c r="R304" s="33"/>
      <c r="S304" s="33"/>
      <c r="T304" s="33"/>
      <c r="U304" s="33"/>
    </row>
    <row r="305" spans="2:21">
      <c r="B305" s="15"/>
      <c r="D305" s="14"/>
      <c r="E305" s="5"/>
      <c r="F305" s="5"/>
      <c r="G305" s="5"/>
      <c r="H305" s="5"/>
      <c r="I305" s="5"/>
      <c r="J305" s="1089"/>
      <c r="K305" s="38"/>
      <c r="L305" s="38"/>
      <c r="M305" s="38"/>
      <c r="N305" s="38"/>
      <c r="O305" s="33"/>
      <c r="P305" s="33"/>
      <c r="Q305" s="33"/>
      <c r="R305" s="33"/>
      <c r="S305" s="33"/>
      <c r="T305" s="33"/>
      <c r="U305" s="33"/>
    </row>
    <row r="306" spans="2:21">
      <c r="B306" s="35" t="s">
        <v>17</v>
      </c>
      <c r="C306" s="30"/>
      <c r="D306" s="14" t="s">
        <v>587</v>
      </c>
      <c r="E306" s="5"/>
      <c r="F306" s="5"/>
      <c r="G306" s="5"/>
      <c r="H306" s="5"/>
      <c r="I306" s="5"/>
      <c r="J306" s="1089"/>
      <c r="K306" s="38"/>
      <c r="L306" s="38"/>
      <c r="M306" s="38"/>
      <c r="N306" s="38"/>
      <c r="O306" s="33"/>
      <c r="P306" s="33"/>
      <c r="Q306" s="33"/>
      <c r="R306" s="33"/>
      <c r="S306" s="33"/>
      <c r="T306" s="33"/>
      <c r="U306" s="33"/>
    </row>
    <row r="307" spans="2:21">
      <c r="B307" s="35"/>
      <c r="C307" s="30"/>
      <c r="D307" s="14"/>
      <c r="E307" s="7"/>
      <c r="F307" s="7"/>
      <c r="G307" s="7"/>
      <c r="H307" s="7"/>
      <c r="I307" s="7"/>
      <c r="J307" s="1098"/>
      <c r="K307" s="38"/>
      <c r="L307" s="38"/>
      <c r="M307" s="38"/>
      <c r="N307" s="38"/>
      <c r="O307" s="33"/>
      <c r="P307" s="33"/>
      <c r="Q307" s="33"/>
      <c r="R307" s="33"/>
      <c r="S307" s="33"/>
      <c r="T307" s="33"/>
      <c r="U307" s="33"/>
    </row>
    <row r="308" spans="2:21">
      <c r="B308" s="35" t="s">
        <v>18</v>
      </c>
      <c r="C308" s="30"/>
      <c r="D308" s="14" t="s">
        <v>167</v>
      </c>
      <c r="E308" s="7"/>
      <c r="F308" s="7"/>
      <c r="G308" s="7"/>
      <c r="H308" s="7"/>
      <c r="I308" s="7"/>
      <c r="J308" s="1098"/>
      <c r="K308" s="38"/>
      <c r="L308" s="38"/>
      <c r="M308" s="38"/>
      <c r="N308" s="38"/>
      <c r="O308" s="33"/>
      <c r="P308" s="33"/>
      <c r="Q308" s="33"/>
      <c r="R308" s="33"/>
      <c r="S308" s="33"/>
      <c r="T308" s="33"/>
      <c r="U308" s="33"/>
    </row>
    <row r="309" spans="2:21">
      <c r="B309" s="35"/>
      <c r="C309" s="30"/>
      <c r="D309" s="14"/>
      <c r="E309" s="7"/>
      <c r="F309" s="7"/>
      <c r="G309" s="7"/>
      <c r="H309" s="7"/>
      <c r="I309" s="7"/>
      <c r="J309" s="1098"/>
      <c r="K309" s="38"/>
      <c r="L309" s="38"/>
      <c r="M309" s="38"/>
      <c r="N309" s="38"/>
      <c r="O309" s="33"/>
      <c r="P309" s="33"/>
      <c r="Q309" s="33"/>
      <c r="R309" s="33"/>
      <c r="S309" s="33"/>
      <c r="T309" s="33"/>
      <c r="U309" s="33"/>
    </row>
    <row r="310" spans="2:21">
      <c r="B310" s="36" t="s">
        <v>69</v>
      </c>
      <c r="C310" s="32"/>
      <c r="D310" s="14" t="str">
        <f>"Long Term Debt cost rate = Long-Term Interest (ln "&amp;B221&amp;") / Long Term Debt (ln "&amp;B231&amp;").  Preferred Stock cost rate = preferred dividends (ln "&amp;B222&amp;") / preferred outstanding (ln "&amp;B232&amp;")."</f>
        <v>Long Term Debt cost rate = Long-Term Interest (ln 130) / Long Term Debt (ln 139).  Preferred Stock cost rate = preferred dividends (ln 131) / preferred outstanding (ln 140).</v>
      </c>
      <c r="J310" s="1100"/>
      <c r="M310" s="38"/>
      <c r="N310" s="38"/>
      <c r="O310" s="33"/>
      <c r="P310" s="33"/>
      <c r="Q310" s="33"/>
      <c r="R310" s="33"/>
      <c r="S310" s="33"/>
      <c r="T310" s="33"/>
      <c r="U310" s="33"/>
    </row>
    <row r="311" spans="2:21">
      <c r="B311" s="37"/>
      <c r="C311" s="5"/>
      <c r="D311" s="14" t="str">
        <f>"Common Stock cost rate (ROE) = "&amp;J233*100&amp;"%, the rate accepted by FERC in Docket No. ER07-1069.  It includes an additional 50 basis points for remaining a member of the SPP RTO."</f>
        <v>Common Stock cost rate (ROE) = 11.2%, the rate accepted by FERC in Docket No. ER07-1069.  It includes an additional 50 basis points for remaining a member of the SPP RTO.</v>
      </c>
      <c r="J311" s="1100"/>
      <c r="M311" s="38"/>
      <c r="N311" s="38"/>
      <c r="O311" s="33"/>
      <c r="P311" s="33"/>
      <c r="Q311" s="33"/>
      <c r="R311" s="33"/>
      <c r="S311" s="33"/>
      <c r="T311" s="33"/>
      <c r="U311" s="33"/>
    </row>
    <row r="312" spans="2:21" ht="45" customHeight="1">
      <c r="B312" s="37"/>
      <c r="C312" s="5"/>
      <c r="D312" s="1546" t="s">
        <v>1106</v>
      </c>
      <c r="E312" s="1546"/>
      <c r="F312" s="1546"/>
      <c r="G312" s="1546"/>
      <c r="H312" s="1546"/>
      <c r="I312" s="1546"/>
      <c r="J312" s="1546"/>
      <c r="M312" s="38"/>
      <c r="N312" s="38"/>
      <c r="O312" s="33"/>
      <c r="P312" s="33"/>
      <c r="Q312" s="33"/>
      <c r="R312" s="33"/>
      <c r="S312" s="33"/>
      <c r="T312" s="33"/>
      <c r="U312" s="33"/>
    </row>
    <row r="313" spans="2:21">
      <c r="B313" s="37"/>
      <c r="C313" s="5"/>
      <c r="D313" s="14"/>
      <c r="J313" s="1100"/>
      <c r="M313" s="38"/>
      <c r="N313" s="38"/>
      <c r="O313" s="33"/>
      <c r="P313" s="33"/>
      <c r="Q313" s="33"/>
      <c r="R313" s="33"/>
      <c r="S313" s="33"/>
      <c r="T313" s="33"/>
      <c r="U313" s="33"/>
    </row>
    <row r="314" spans="2:21" ht="56.25" customHeight="1">
      <c r="B314" s="664" t="s">
        <v>1207</v>
      </c>
      <c r="C314" s="30"/>
      <c r="D314" s="1537" t="s">
        <v>1284</v>
      </c>
      <c r="E314" s="1537"/>
      <c r="F314" s="1537"/>
      <c r="G314" s="1537"/>
      <c r="H314" s="1537"/>
      <c r="I314" s="1537"/>
      <c r="J314" s="1537"/>
      <c r="M314" s="38"/>
      <c r="N314" s="38"/>
      <c r="O314" s="33"/>
      <c r="P314" s="33"/>
      <c r="Q314" s="33"/>
      <c r="R314" s="33"/>
      <c r="S314" s="33"/>
      <c r="T314" s="33"/>
      <c r="U314" s="33"/>
    </row>
    <row r="315" spans="2:21">
      <c r="B315" s="35"/>
      <c r="C315" s="30"/>
      <c r="M315" s="38"/>
      <c r="N315" s="38"/>
      <c r="O315" s="33"/>
      <c r="P315" s="33"/>
      <c r="Q315" s="33"/>
      <c r="R315" s="33"/>
      <c r="S315" s="33"/>
      <c r="T315" s="33"/>
      <c r="U315" s="33"/>
    </row>
    <row r="316" spans="2:21">
      <c r="B316" s="35"/>
      <c r="C316" s="30"/>
      <c r="M316" s="38"/>
      <c r="N316" s="38"/>
      <c r="O316" s="33"/>
      <c r="P316" s="33"/>
      <c r="Q316" s="33"/>
      <c r="R316" s="33"/>
      <c r="S316" s="33"/>
      <c r="T316" s="33"/>
      <c r="U316" s="33"/>
    </row>
    <row r="317" spans="2:21">
      <c r="B317" s="163"/>
      <c r="C317" s="163"/>
      <c r="D317" s="163"/>
      <c r="E317" s="163"/>
      <c r="F317" s="163"/>
      <c r="G317" s="163"/>
      <c r="H317" s="163"/>
      <c r="M317" s="38"/>
      <c r="N317" s="38"/>
      <c r="O317" s="33"/>
      <c r="P317" s="33"/>
      <c r="Q317" s="33"/>
      <c r="R317" s="33"/>
      <c r="S317" s="33"/>
      <c r="T317" s="33"/>
      <c r="U317" s="33"/>
    </row>
    <row r="318" spans="2:21">
      <c r="B318" s="38"/>
      <c r="C318" s="38"/>
      <c r="D318" s="38"/>
      <c r="E318" s="38"/>
      <c r="F318" s="38"/>
      <c r="G318" s="38"/>
      <c r="H318" s="38"/>
      <c r="M318" s="38"/>
      <c r="N318" s="38"/>
      <c r="O318" s="33"/>
      <c r="P318" s="33"/>
      <c r="Q318" s="33"/>
      <c r="R318" s="33"/>
      <c r="S318" s="33"/>
      <c r="T318" s="33"/>
      <c r="U318" s="33"/>
    </row>
    <row r="319" spans="2:21">
      <c r="B319" s="38"/>
      <c r="C319" s="38"/>
      <c r="D319" s="38"/>
      <c r="E319" s="38"/>
      <c r="F319" s="38"/>
      <c r="G319" s="38"/>
      <c r="H319" s="38"/>
      <c r="M319" s="38"/>
      <c r="N319" s="38"/>
      <c r="O319" s="33"/>
      <c r="P319" s="33"/>
      <c r="Q319" s="33"/>
      <c r="R319" s="33"/>
      <c r="S319" s="33"/>
      <c r="T319" s="33"/>
      <c r="U319" s="33"/>
    </row>
    <row r="320" spans="2:21">
      <c r="B320" s="38"/>
      <c r="C320" s="38"/>
      <c r="D320" s="38"/>
      <c r="E320" s="38"/>
      <c r="F320" s="38"/>
      <c r="G320" s="38"/>
      <c r="H320" s="38"/>
      <c r="M320" s="38"/>
      <c r="N320" s="38"/>
      <c r="O320" s="33"/>
      <c r="P320" s="33"/>
      <c r="Q320" s="33"/>
      <c r="R320" s="33"/>
      <c r="S320" s="33"/>
      <c r="T320" s="33"/>
      <c r="U320" s="33"/>
    </row>
    <row r="321" spans="2:21">
      <c r="B321" s="38"/>
      <c r="C321" s="38"/>
      <c r="D321" s="38"/>
      <c r="E321" s="38"/>
      <c r="F321" s="38"/>
      <c r="G321" s="38"/>
      <c r="H321" s="38"/>
      <c r="M321" s="38"/>
      <c r="N321" s="38"/>
      <c r="O321" s="33"/>
      <c r="P321" s="33"/>
      <c r="Q321" s="33"/>
      <c r="R321" s="33"/>
      <c r="S321" s="33"/>
      <c r="T321" s="33"/>
      <c r="U321" s="33"/>
    </row>
    <row r="322" spans="2:21">
      <c r="B322" s="38"/>
      <c r="C322" s="38"/>
      <c r="D322" s="38"/>
      <c r="E322" s="38"/>
      <c r="F322" s="38"/>
      <c r="G322" s="38"/>
      <c r="H322" s="38"/>
      <c r="M322" s="38"/>
      <c r="N322" s="38"/>
      <c r="O322" s="33"/>
      <c r="P322" s="33"/>
      <c r="Q322" s="33"/>
      <c r="R322" s="33"/>
      <c r="S322" s="33"/>
      <c r="T322" s="33"/>
      <c r="U322" s="33"/>
    </row>
    <row r="323" spans="2:21">
      <c r="B323" s="38"/>
      <c r="C323" s="38"/>
      <c r="D323" s="38"/>
      <c r="E323" s="38"/>
      <c r="F323" s="38"/>
      <c r="G323" s="38"/>
      <c r="H323" s="38"/>
      <c r="M323" s="38"/>
      <c r="N323" s="38"/>
      <c r="O323" s="33"/>
      <c r="P323" s="33"/>
      <c r="Q323" s="33"/>
      <c r="R323" s="33"/>
      <c r="S323" s="33"/>
      <c r="T323" s="33"/>
      <c r="U323" s="33"/>
    </row>
    <row r="324" spans="2:21">
      <c r="B324" s="38"/>
      <c r="C324" s="38"/>
      <c r="D324" s="38"/>
      <c r="E324" s="38"/>
      <c r="F324" s="38"/>
      <c r="G324" s="38"/>
      <c r="H324" s="38"/>
      <c r="M324" s="38"/>
      <c r="N324" s="38"/>
      <c r="O324" s="33"/>
      <c r="P324" s="33"/>
      <c r="Q324" s="33"/>
      <c r="R324" s="33"/>
      <c r="S324" s="33"/>
      <c r="T324" s="33"/>
      <c r="U324" s="33"/>
    </row>
    <row r="325" spans="2:21">
      <c r="B325" s="38"/>
      <c r="C325" s="38"/>
      <c r="D325" s="38"/>
      <c r="E325" s="38"/>
      <c r="F325" s="38"/>
      <c r="G325" s="38"/>
      <c r="H325" s="38"/>
      <c r="M325" s="38"/>
      <c r="N325" s="38"/>
      <c r="O325" s="33"/>
      <c r="P325" s="33"/>
      <c r="Q325" s="33"/>
      <c r="R325" s="33"/>
      <c r="S325" s="33"/>
      <c r="T325" s="33"/>
      <c r="U325" s="33"/>
    </row>
    <row r="326" spans="2:21">
      <c r="B326" s="38"/>
      <c r="C326" s="38"/>
      <c r="D326" s="38"/>
      <c r="E326" s="38"/>
      <c r="F326" s="38"/>
      <c r="G326" s="38"/>
      <c r="H326" s="38"/>
      <c r="M326" s="38"/>
      <c r="N326" s="38"/>
      <c r="O326" s="33"/>
      <c r="P326" s="33"/>
      <c r="Q326" s="33"/>
      <c r="R326" s="33"/>
      <c r="S326" s="33"/>
      <c r="T326" s="33"/>
      <c r="U326" s="33"/>
    </row>
    <row r="327" spans="2:21">
      <c r="B327" s="38"/>
      <c r="C327" s="38"/>
      <c r="D327" s="38"/>
      <c r="E327" s="38"/>
      <c r="F327" s="38"/>
      <c r="G327" s="38"/>
      <c r="H327" s="38"/>
      <c r="M327" s="38"/>
      <c r="N327" s="38"/>
      <c r="O327" s="33"/>
      <c r="P327" s="33"/>
      <c r="Q327" s="33"/>
      <c r="R327" s="33"/>
      <c r="S327" s="33"/>
      <c r="T327" s="33"/>
      <c r="U327" s="33"/>
    </row>
    <row r="328" spans="2:21">
      <c r="B328" s="35"/>
      <c r="C328" s="30"/>
      <c r="M328" s="38"/>
      <c r="N328" s="38"/>
      <c r="O328" s="33"/>
      <c r="P328" s="33"/>
      <c r="Q328" s="33"/>
      <c r="R328" s="33"/>
      <c r="S328" s="33"/>
      <c r="T328" s="33"/>
      <c r="U328" s="33"/>
    </row>
    <row r="329" spans="2:21">
      <c r="B329" s="15"/>
      <c r="M329" s="38"/>
      <c r="N329" s="38"/>
      <c r="O329" s="33"/>
      <c r="P329" s="33"/>
      <c r="Q329" s="33"/>
      <c r="R329" s="33"/>
      <c r="S329" s="33"/>
      <c r="T329" s="33"/>
      <c r="U329" s="33"/>
    </row>
    <row r="330" spans="2:21">
      <c r="B330" s="15"/>
      <c r="M330" s="38"/>
      <c r="N330" s="38"/>
      <c r="O330" s="33"/>
      <c r="P330" s="33"/>
      <c r="Q330" s="33"/>
      <c r="R330" s="33"/>
      <c r="S330" s="33"/>
      <c r="T330" s="33"/>
      <c r="U330" s="33"/>
    </row>
    <row r="331" spans="2:21">
      <c r="B331" s="15"/>
      <c r="M331" s="38"/>
      <c r="N331" s="38"/>
      <c r="O331" s="33"/>
      <c r="P331" s="33"/>
      <c r="Q331" s="33"/>
      <c r="R331" s="33"/>
      <c r="S331" s="33"/>
      <c r="T331" s="33"/>
      <c r="U331" s="33"/>
    </row>
    <row r="332" spans="2:21">
      <c r="B332" s="15"/>
      <c r="H332" s="33"/>
      <c r="I332" s="33"/>
      <c r="J332" s="33"/>
      <c r="K332" s="33"/>
      <c r="L332" s="33"/>
      <c r="M332" s="38"/>
      <c r="N332" s="38"/>
      <c r="O332" s="33"/>
      <c r="P332" s="33"/>
      <c r="Q332" s="33"/>
      <c r="R332" s="33"/>
      <c r="S332" s="33"/>
      <c r="T332" s="33"/>
      <c r="U332" s="33"/>
    </row>
    <row r="333" spans="2:21">
      <c r="B333" s="15"/>
      <c r="H333" s="33"/>
      <c r="K333" s="33"/>
      <c r="L333" s="33"/>
      <c r="M333" s="38"/>
      <c r="N333" s="38"/>
      <c r="O333" s="33"/>
      <c r="P333" s="33"/>
      <c r="Q333" s="33"/>
      <c r="R333" s="33"/>
      <c r="S333" s="33"/>
      <c r="T333" s="33"/>
      <c r="U333" s="33"/>
    </row>
    <row r="334" spans="2:21">
      <c r="B334" s="15"/>
      <c r="H334" s="33"/>
      <c r="I334" s="33"/>
      <c r="J334" s="70"/>
      <c r="K334" s="33"/>
      <c r="L334" s="33"/>
      <c r="M334" s="38"/>
      <c r="N334" s="38"/>
      <c r="O334" s="33"/>
      <c r="P334" s="33"/>
      <c r="Q334" s="33"/>
      <c r="R334" s="33"/>
      <c r="S334" s="33"/>
      <c r="T334" s="33"/>
      <c r="U334" s="33"/>
    </row>
    <row r="335" spans="2:21">
      <c r="B335" s="15"/>
      <c r="H335" s="33"/>
      <c r="I335" s="69"/>
      <c r="J335" s="70"/>
      <c r="K335" s="33"/>
      <c r="L335" s="33"/>
      <c r="M335" s="38"/>
      <c r="N335" s="38"/>
      <c r="O335" s="33"/>
      <c r="P335" s="33"/>
      <c r="Q335" s="33"/>
      <c r="R335" s="33"/>
      <c r="S335" s="33"/>
      <c r="T335" s="33"/>
      <c r="U335" s="33"/>
    </row>
    <row r="336" spans="2:21">
      <c r="B336" s="15"/>
      <c r="H336" s="33"/>
      <c r="I336" s="69"/>
      <c r="J336" s="70"/>
      <c r="K336" s="33"/>
      <c r="L336" s="33"/>
      <c r="M336" s="38"/>
      <c r="N336" s="38"/>
      <c r="O336" s="33"/>
      <c r="P336" s="33"/>
      <c r="Q336" s="33"/>
      <c r="R336" s="33"/>
      <c r="S336" s="33"/>
      <c r="T336" s="33"/>
      <c r="U336" s="33"/>
    </row>
    <row r="337" spans="2:21">
      <c r="B337" s="15"/>
      <c r="H337" s="33"/>
      <c r="I337" s="69"/>
      <c r="J337" s="70"/>
      <c r="K337" s="33"/>
      <c r="L337" s="33"/>
      <c r="M337" s="38"/>
      <c r="N337" s="38"/>
      <c r="O337" s="33"/>
      <c r="P337" s="33"/>
      <c r="Q337" s="33"/>
      <c r="R337" s="33"/>
      <c r="S337" s="33"/>
      <c r="T337" s="33"/>
      <c r="U337" s="33"/>
    </row>
    <row r="338" spans="2:21">
      <c r="B338" s="1"/>
      <c r="C338" s="33"/>
      <c r="D338" s="33"/>
      <c r="E338" s="33"/>
      <c r="F338" s="33"/>
      <c r="G338" s="33"/>
      <c r="H338" s="33"/>
      <c r="I338" s="69"/>
      <c r="J338" s="71"/>
      <c r="K338" s="33"/>
      <c r="L338" s="33"/>
      <c r="M338" s="38"/>
      <c r="N338" s="38"/>
      <c r="O338" s="33"/>
      <c r="P338" s="33"/>
      <c r="Q338" s="33"/>
      <c r="R338" s="33"/>
      <c r="S338" s="33"/>
      <c r="T338" s="33"/>
      <c r="U338" s="33"/>
    </row>
    <row r="339" spans="2:21">
      <c r="B339" s="1"/>
      <c r="C339" s="33"/>
      <c r="D339" s="33"/>
      <c r="E339" s="33"/>
      <c r="F339" s="33"/>
      <c r="G339" s="33"/>
      <c r="H339" s="33"/>
      <c r="I339" s="69"/>
      <c r="J339" s="70"/>
      <c r="K339" s="33"/>
      <c r="L339" s="33"/>
      <c r="M339" s="38"/>
      <c r="N339" s="38"/>
      <c r="O339" s="33"/>
      <c r="P339" s="33"/>
      <c r="Q339" s="33"/>
      <c r="R339" s="33"/>
      <c r="S339" s="33"/>
      <c r="T339" s="33"/>
      <c r="U339" s="33"/>
    </row>
    <row r="340" spans="2:21">
      <c r="B340" s="1"/>
      <c r="C340" s="33"/>
      <c r="D340" s="33"/>
      <c r="E340" s="33"/>
      <c r="F340" s="33"/>
      <c r="G340" s="33"/>
      <c r="H340" s="33"/>
      <c r="I340" s="69"/>
      <c r="J340" s="70"/>
      <c r="K340" s="33"/>
      <c r="L340" s="33"/>
      <c r="M340" s="38"/>
      <c r="N340" s="38"/>
      <c r="O340" s="33"/>
      <c r="P340" s="33"/>
      <c r="Q340" s="33"/>
      <c r="R340" s="33"/>
      <c r="S340" s="33"/>
      <c r="T340" s="33"/>
      <c r="U340" s="33"/>
    </row>
    <row r="341" spans="2:21">
      <c r="I341" s="69"/>
      <c r="J341" s="70"/>
      <c r="M341" s="38"/>
      <c r="N341" s="38"/>
    </row>
    <row r="342" spans="2:21">
      <c r="I342" s="69"/>
      <c r="J342" s="70"/>
      <c r="M342" s="38"/>
      <c r="N342" s="38"/>
    </row>
    <row r="343" spans="2:21">
      <c r="M343" s="38"/>
      <c r="N343" s="38"/>
    </row>
    <row r="344" spans="2:21">
      <c r="M344" s="38"/>
      <c r="N344" s="38"/>
    </row>
    <row r="345" spans="2:21">
      <c r="M345" s="38"/>
      <c r="N345" s="38"/>
    </row>
    <row r="346" spans="2:21">
      <c r="M346" s="38"/>
      <c r="N346" s="38"/>
    </row>
    <row r="347" spans="2:21">
      <c r="M347" s="38"/>
      <c r="N347" s="38"/>
    </row>
    <row r="348" spans="2:21">
      <c r="M348" s="38"/>
      <c r="N348" s="38"/>
    </row>
    <row r="349" spans="2:21">
      <c r="M349" s="38"/>
      <c r="N349" s="38"/>
    </row>
    <row r="350" spans="2:21">
      <c r="M350" s="38"/>
      <c r="N350" s="38"/>
    </row>
    <row r="351" spans="2:21">
      <c r="M351" s="38"/>
      <c r="N351" s="38"/>
    </row>
    <row r="352" spans="2:21">
      <c r="M352" s="38"/>
      <c r="N352" s="38"/>
    </row>
    <row r="353" spans="13:14">
      <c r="M353" s="38"/>
      <c r="N353" s="38"/>
    </row>
    <row r="354" spans="13:14">
      <c r="M354" s="38"/>
      <c r="N354" s="38"/>
    </row>
    <row r="355" spans="13:14">
      <c r="M355" s="38"/>
      <c r="N355" s="38"/>
    </row>
    <row r="356" spans="13:14">
      <c r="M356" s="38"/>
      <c r="N356" s="38"/>
    </row>
    <row r="357" spans="13:14">
      <c r="M357" s="38"/>
      <c r="N357" s="38"/>
    </row>
    <row r="358" spans="13:14">
      <c r="M358" s="38"/>
      <c r="N358" s="38"/>
    </row>
    <row r="359" spans="13:14">
      <c r="M359" s="38"/>
      <c r="N359" s="38"/>
    </row>
    <row r="360" spans="13:14">
      <c r="M360" s="38"/>
      <c r="N360" s="38"/>
    </row>
    <row r="361" spans="13:14">
      <c r="M361" s="38"/>
      <c r="N361" s="38"/>
    </row>
    <row r="362" spans="13:14">
      <c r="M362" s="38"/>
      <c r="N362" s="38"/>
    </row>
    <row r="363" spans="13:14">
      <c r="M363" s="38"/>
      <c r="N363" s="38"/>
    </row>
    <row r="364" spans="13:14">
      <c r="M364" s="38"/>
      <c r="N364" s="38"/>
    </row>
    <row r="365" spans="13:14">
      <c r="M365" s="38"/>
      <c r="N365" s="38"/>
    </row>
    <row r="366" spans="13:14">
      <c r="M366" s="38"/>
      <c r="N366" s="38"/>
    </row>
    <row r="367" spans="13:14">
      <c r="M367" s="38"/>
      <c r="N367" s="38"/>
    </row>
    <row r="368" spans="13:14">
      <c r="M368" s="38"/>
      <c r="N368" s="38"/>
    </row>
    <row r="369" spans="13:14">
      <c r="M369" s="38"/>
      <c r="N369" s="38"/>
    </row>
    <row r="370" spans="13:14">
      <c r="M370" s="38"/>
      <c r="N370" s="38"/>
    </row>
    <row r="371" spans="13:14">
      <c r="M371" s="38"/>
      <c r="N371" s="38"/>
    </row>
    <row r="372" spans="13:14">
      <c r="M372" s="38"/>
      <c r="N372" s="38"/>
    </row>
    <row r="373" spans="13:14">
      <c r="M373" s="38"/>
      <c r="N373" s="38"/>
    </row>
    <row r="374" spans="13:14">
      <c r="M374" s="38"/>
      <c r="N374" s="38"/>
    </row>
    <row r="375" spans="13:14">
      <c r="M375" s="38"/>
      <c r="N375" s="38"/>
    </row>
    <row r="376" spans="13:14">
      <c r="M376" s="38"/>
      <c r="N376" s="38"/>
    </row>
    <row r="377" spans="13:14">
      <c r="M377" s="38"/>
      <c r="N377" s="38"/>
    </row>
    <row r="378" spans="13:14">
      <c r="M378" s="38"/>
      <c r="N378" s="38"/>
    </row>
    <row r="379" spans="13:14">
      <c r="M379" s="38"/>
      <c r="N379" s="38"/>
    </row>
    <row r="380" spans="13:14">
      <c r="M380" s="38"/>
      <c r="N380" s="38"/>
    </row>
    <row r="381" spans="13:14">
      <c r="M381" s="38"/>
      <c r="N381" s="38"/>
    </row>
    <row r="382" spans="13:14">
      <c r="M382" s="38"/>
      <c r="N382" s="38"/>
    </row>
    <row r="383" spans="13:14">
      <c r="M383" s="38"/>
      <c r="N383" s="38"/>
    </row>
    <row r="384" spans="13:14">
      <c r="M384" s="38"/>
      <c r="N384" s="38"/>
    </row>
    <row r="385" spans="13:14">
      <c r="M385" s="38"/>
      <c r="N385" s="38"/>
    </row>
    <row r="386" spans="13:14">
      <c r="M386" s="38"/>
      <c r="N386" s="38"/>
    </row>
    <row r="387" spans="13:14">
      <c r="M387" s="38"/>
      <c r="N387" s="38"/>
    </row>
    <row r="388" spans="13:14">
      <c r="M388" s="38"/>
      <c r="N388" s="38"/>
    </row>
    <row r="389" spans="13:14">
      <c r="M389" s="38"/>
      <c r="N389" s="38"/>
    </row>
    <row r="390" spans="13:14">
      <c r="M390" s="38"/>
      <c r="N390" s="38"/>
    </row>
    <row r="391" spans="13:14">
      <c r="M391" s="38"/>
      <c r="N391" s="38"/>
    </row>
    <row r="392" spans="13:14">
      <c r="M392" s="38"/>
      <c r="N392" s="38"/>
    </row>
    <row r="393" spans="13:14">
      <c r="M393" s="38"/>
      <c r="N393" s="38"/>
    </row>
    <row r="394" spans="13:14">
      <c r="M394" s="38"/>
      <c r="N394" s="38"/>
    </row>
    <row r="395" spans="13:14">
      <c r="M395" s="38"/>
      <c r="N395" s="38"/>
    </row>
    <row r="396" spans="13:14">
      <c r="M396" s="38"/>
      <c r="N396" s="38"/>
    </row>
    <row r="397" spans="13:14">
      <c r="M397" s="38"/>
      <c r="N397" s="38"/>
    </row>
    <row r="398" spans="13:14">
      <c r="M398" s="38"/>
      <c r="N398" s="38"/>
    </row>
    <row r="399" spans="13:14">
      <c r="M399" s="38"/>
      <c r="N399" s="38"/>
    </row>
    <row r="400" spans="13:14">
      <c r="M400" s="38"/>
      <c r="N400" s="38"/>
    </row>
    <row r="401" spans="13:14">
      <c r="M401" s="38"/>
      <c r="N401" s="38"/>
    </row>
    <row r="402" spans="13:14">
      <c r="M402" s="38"/>
      <c r="N402" s="38"/>
    </row>
    <row r="403" spans="13:14">
      <c r="M403" s="38"/>
      <c r="N403" s="38"/>
    </row>
    <row r="404" spans="13:14">
      <c r="M404" s="38"/>
      <c r="N404" s="38"/>
    </row>
    <row r="405" spans="13:14">
      <c r="M405" s="38"/>
      <c r="N405" s="38"/>
    </row>
    <row r="406" spans="13:14">
      <c r="M406" s="38"/>
      <c r="N406" s="38"/>
    </row>
    <row r="407" spans="13:14">
      <c r="M407" s="38"/>
      <c r="N407" s="38"/>
    </row>
    <row r="408" spans="13:14">
      <c r="M408" s="38"/>
      <c r="N408" s="38"/>
    </row>
    <row r="409" spans="13:14">
      <c r="M409" s="38"/>
      <c r="N409" s="38"/>
    </row>
    <row r="410" spans="13:14">
      <c r="M410" s="38"/>
      <c r="N410" s="38"/>
    </row>
    <row r="411" spans="13:14">
      <c r="M411" s="38"/>
      <c r="N411" s="38"/>
    </row>
    <row r="412" spans="13:14">
      <c r="M412" s="38"/>
      <c r="N412" s="38"/>
    </row>
    <row r="413" spans="13:14">
      <c r="M413" s="38"/>
      <c r="N413" s="38"/>
    </row>
    <row r="414" spans="13:14">
      <c r="M414" s="38"/>
      <c r="N414" s="38"/>
    </row>
    <row r="415" spans="13:14">
      <c r="M415" s="38"/>
      <c r="N415" s="38"/>
    </row>
    <row r="416" spans="13:14">
      <c r="M416" s="38"/>
      <c r="N416" s="38"/>
    </row>
    <row r="417" spans="13:14">
      <c r="M417" s="38"/>
      <c r="N417" s="38"/>
    </row>
    <row r="418" spans="13:14">
      <c r="M418" s="38"/>
      <c r="N418" s="38"/>
    </row>
    <row r="419" spans="13:14">
      <c r="M419" s="38"/>
      <c r="N419" s="38"/>
    </row>
    <row r="420" spans="13:14">
      <c r="M420" s="38"/>
      <c r="N420" s="38"/>
    </row>
    <row r="421" spans="13:14">
      <c r="M421" s="38"/>
      <c r="N421" s="38"/>
    </row>
    <row r="422" spans="13:14">
      <c r="M422" s="38"/>
      <c r="N422" s="38"/>
    </row>
    <row r="423" spans="13:14">
      <c r="M423" s="38"/>
      <c r="N423" s="38"/>
    </row>
    <row r="424" spans="13:14">
      <c r="M424" s="38"/>
      <c r="N424" s="38"/>
    </row>
    <row r="425" spans="13:14">
      <c r="M425" s="38"/>
      <c r="N425" s="38"/>
    </row>
    <row r="426" spans="13:14">
      <c r="M426" s="38"/>
      <c r="N426" s="38"/>
    </row>
    <row r="427" spans="13:14">
      <c r="M427" s="38"/>
      <c r="N427" s="38"/>
    </row>
    <row r="428" spans="13:14">
      <c r="M428" s="38"/>
      <c r="N428" s="38"/>
    </row>
    <row r="429" spans="13:14">
      <c r="M429" s="38"/>
      <c r="N429" s="38"/>
    </row>
    <row r="430" spans="13:14">
      <c r="M430" s="38"/>
      <c r="N430" s="38"/>
    </row>
    <row r="431" spans="13:14">
      <c r="M431" s="38"/>
      <c r="N431" s="38"/>
    </row>
    <row r="432" spans="13:14">
      <c r="M432" s="38"/>
      <c r="N432" s="38"/>
    </row>
    <row r="433" spans="13:14">
      <c r="M433" s="38"/>
      <c r="N433" s="38"/>
    </row>
    <row r="434" spans="13:14">
      <c r="M434" s="38"/>
      <c r="N434" s="38"/>
    </row>
    <row r="435" spans="13:14">
      <c r="M435" s="38"/>
      <c r="N435" s="38"/>
    </row>
    <row r="436" spans="13:14">
      <c r="M436" s="38"/>
      <c r="N436" s="38"/>
    </row>
    <row r="437" spans="13:14">
      <c r="M437" s="38"/>
      <c r="N437" s="38"/>
    </row>
    <row r="438" spans="13:14">
      <c r="M438" s="38"/>
      <c r="N438" s="38"/>
    </row>
    <row r="439" spans="13:14">
      <c r="M439" s="38"/>
      <c r="N439" s="38"/>
    </row>
    <row r="440" spans="13:14">
      <c r="M440" s="38"/>
      <c r="N440" s="38"/>
    </row>
    <row r="441" spans="13:14">
      <c r="M441" s="38"/>
      <c r="N441" s="38"/>
    </row>
    <row r="442" spans="13:14">
      <c r="M442" s="38"/>
      <c r="N442" s="38"/>
    </row>
    <row r="443" spans="13:14">
      <c r="M443" s="38"/>
      <c r="N443" s="38"/>
    </row>
    <row r="444" spans="13:14">
      <c r="M444" s="38"/>
      <c r="N444" s="38"/>
    </row>
    <row r="445" spans="13:14">
      <c r="M445" s="38"/>
      <c r="N445" s="38"/>
    </row>
    <row r="446" spans="13:14">
      <c r="M446" s="38"/>
      <c r="N446" s="38"/>
    </row>
    <row r="447" spans="13:14">
      <c r="M447" s="38"/>
      <c r="N447" s="38"/>
    </row>
    <row r="448" spans="13:14">
      <c r="M448" s="38"/>
      <c r="N448" s="38"/>
    </row>
    <row r="449" spans="13:14">
      <c r="M449" s="38"/>
      <c r="N449" s="38"/>
    </row>
    <row r="450" spans="13:14">
      <c r="M450" s="38"/>
      <c r="N450" s="38"/>
    </row>
    <row r="451" spans="13:14">
      <c r="M451" s="38"/>
      <c r="N451" s="38"/>
    </row>
    <row r="452" spans="13:14">
      <c r="M452" s="38"/>
      <c r="N452" s="38"/>
    </row>
    <row r="453" spans="13:14">
      <c r="M453" s="38"/>
      <c r="N453" s="38"/>
    </row>
    <row r="454" spans="13:14">
      <c r="M454" s="38"/>
      <c r="N454" s="38"/>
    </row>
    <row r="455" spans="13:14">
      <c r="M455" s="38"/>
      <c r="N455" s="38"/>
    </row>
    <row r="456" spans="13:14">
      <c r="M456" s="38"/>
      <c r="N456" s="38"/>
    </row>
    <row r="457" spans="13:14">
      <c r="M457" s="38"/>
      <c r="N457" s="38"/>
    </row>
    <row r="458" spans="13:14">
      <c r="M458" s="38"/>
      <c r="N458" s="38"/>
    </row>
    <row r="459" spans="13:14">
      <c r="M459" s="38"/>
      <c r="N459" s="38"/>
    </row>
    <row r="460" spans="13:14">
      <c r="M460" s="38"/>
      <c r="N460" s="38"/>
    </row>
    <row r="461" spans="13:14">
      <c r="M461" s="38"/>
      <c r="N461" s="38"/>
    </row>
    <row r="462" spans="13:14">
      <c r="M462" s="38"/>
      <c r="N462" s="38"/>
    </row>
    <row r="463" spans="13:14">
      <c r="M463" s="38"/>
      <c r="N463" s="38"/>
    </row>
    <row r="464" spans="13:14">
      <c r="M464" s="38"/>
      <c r="N464" s="38"/>
    </row>
    <row r="465" spans="13:14">
      <c r="M465" s="38"/>
      <c r="N465" s="38"/>
    </row>
    <row r="466" spans="13:14">
      <c r="M466" s="38"/>
      <c r="N466" s="38"/>
    </row>
    <row r="467" spans="13:14">
      <c r="M467" s="38"/>
      <c r="N467" s="38"/>
    </row>
    <row r="468" spans="13:14">
      <c r="M468" s="38"/>
      <c r="N468" s="38"/>
    </row>
    <row r="469" spans="13:14">
      <c r="M469" s="38"/>
      <c r="N469" s="38"/>
    </row>
    <row r="470" spans="13:14">
      <c r="M470" s="38"/>
      <c r="N470" s="38"/>
    </row>
    <row r="471" spans="13:14">
      <c r="M471" s="38"/>
      <c r="N471" s="38"/>
    </row>
    <row r="472" spans="13:14">
      <c r="M472" s="38"/>
      <c r="N472" s="38"/>
    </row>
    <row r="473" spans="13:14">
      <c r="M473" s="38"/>
      <c r="N473" s="38"/>
    </row>
    <row r="474" spans="13:14">
      <c r="M474" s="38"/>
      <c r="N474" s="38"/>
    </row>
    <row r="475" spans="13:14">
      <c r="M475" s="38"/>
      <c r="N475" s="38"/>
    </row>
    <row r="476" spans="13:14">
      <c r="M476" s="38"/>
      <c r="N476" s="38"/>
    </row>
    <row r="477" spans="13:14">
      <c r="M477" s="38"/>
      <c r="N477" s="38"/>
    </row>
    <row r="478" spans="13:14">
      <c r="M478" s="38"/>
      <c r="N478" s="38"/>
    </row>
    <row r="479" spans="13:14">
      <c r="M479" s="38"/>
      <c r="N479" s="38"/>
    </row>
    <row r="480" spans="13:14">
      <c r="M480" s="38"/>
      <c r="N480" s="38"/>
    </row>
    <row r="481" spans="13:14">
      <c r="M481" s="38"/>
      <c r="N481" s="38"/>
    </row>
    <row r="482" spans="13:14">
      <c r="M482" s="38"/>
      <c r="N482" s="38"/>
    </row>
    <row r="483" spans="13:14">
      <c r="M483" s="38"/>
      <c r="N483" s="38"/>
    </row>
    <row r="484" spans="13:14">
      <c r="M484" s="38"/>
      <c r="N484" s="38"/>
    </row>
    <row r="485" spans="13:14">
      <c r="M485" s="38"/>
      <c r="N485" s="38"/>
    </row>
    <row r="486" spans="13:14">
      <c r="M486" s="38"/>
      <c r="N486" s="38"/>
    </row>
    <row r="487" spans="13:14">
      <c r="M487" s="38"/>
      <c r="N487" s="38"/>
    </row>
    <row r="488" spans="13:14">
      <c r="M488" s="38"/>
      <c r="N488" s="38"/>
    </row>
    <row r="489" spans="13:14">
      <c r="M489" s="38"/>
      <c r="N489" s="38"/>
    </row>
    <row r="490" spans="13:14">
      <c r="M490" s="38"/>
      <c r="N490" s="38"/>
    </row>
    <row r="491" spans="13:14">
      <c r="M491" s="38"/>
      <c r="N491" s="38"/>
    </row>
    <row r="492" spans="13:14">
      <c r="M492" s="38"/>
      <c r="N492" s="38"/>
    </row>
    <row r="493" spans="13:14">
      <c r="M493" s="38"/>
      <c r="N493" s="38"/>
    </row>
    <row r="494" spans="13:14">
      <c r="M494" s="38"/>
      <c r="N494" s="38"/>
    </row>
    <row r="495" spans="13:14">
      <c r="M495" s="38"/>
      <c r="N495" s="38"/>
    </row>
    <row r="496" spans="13:14">
      <c r="M496" s="38"/>
      <c r="N496" s="38"/>
    </row>
    <row r="497" spans="13:14">
      <c r="M497" s="38"/>
      <c r="N497" s="38"/>
    </row>
    <row r="498" spans="13:14">
      <c r="M498" s="38"/>
      <c r="N498" s="38"/>
    </row>
    <row r="712" spans="5:5">
      <c r="E712" s="15">
        <v>0</v>
      </c>
    </row>
  </sheetData>
  <mergeCells count="14">
    <mergeCell ref="I122:J122"/>
    <mergeCell ref="B19:I20"/>
    <mergeCell ref="D22:E23"/>
    <mergeCell ref="I47:J47"/>
    <mergeCell ref="I50:J50"/>
    <mergeCell ref="I119:J119"/>
    <mergeCell ref="D312:J312"/>
    <mergeCell ref="D314:J314"/>
    <mergeCell ref="D258:J259"/>
    <mergeCell ref="D274:J274"/>
    <mergeCell ref="D285:J285"/>
    <mergeCell ref="D287:J287"/>
    <mergeCell ref="D298:J298"/>
    <mergeCell ref="D304:J304"/>
  </mergeCells>
  <printOptions horizontalCentered="1"/>
  <pageMargins left="0.25" right="0.25" top="1" bottom="1" header="0.65" footer="0.25"/>
  <pageSetup scale="42" fitToHeight="0" orientation="portrait" r:id="rId1"/>
  <headerFooter alignWithMargins="0">
    <oddHeader xml:space="preserve">&amp;R&amp;16AEP - SPP Formula Rate
TCOS
Page: &amp;P of &amp;N
</oddHeader>
    <oddFooter xml:space="preserve">&amp;R &amp;C </oddFooter>
  </headerFooter>
  <rowBreaks count="4" manualBreakCount="4">
    <brk id="38" max="11" man="1"/>
    <brk id="111" max="11" man="1"/>
    <brk id="190" max="11" man="1"/>
    <brk id="235" max="11" man="1"/>
  </rowBreaks>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topLeftCell="A3" zoomScale="70" zoomScaleNormal="70" zoomScaleSheetLayoutView="80" zoomScalePageLayoutView="90" workbookViewId="0">
      <selection activeCell="O34" sqref="O34"/>
    </sheetView>
  </sheetViews>
  <sheetFormatPr defaultColWidth="11.42578125" defaultRowHeight="12.75"/>
  <cols>
    <col min="1" max="1" width="9" style="97" customWidth="1"/>
    <col min="2" max="2" width="4.28515625" style="93" customWidth="1"/>
    <col min="3" max="3" width="73.5703125" style="93" customWidth="1"/>
    <col min="4" max="4" width="54" style="93" customWidth="1"/>
    <col min="5" max="5" width="18.5703125" style="93" customWidth="1"/>
    <col min="6" max="6" width="20" style="93" bestFit="1" customWidth="1"/>
    <col min="7" max="7" width="18.28515625" style="93" customWidth="1"/>
    <col min="8" max="8" width="17" style="93" customWidth="1"/>
    <col min="9" max="9" width="16" style="93" customWidth="1"/>
    <col min="10" max="10" width="16.7109375" style="93" customWidth="1"/>
    <col min="11" max="11" width="13.7109375" style="93" customWidth="1"/>
    <col min="12" max="12" width="11.5703125" style="93" customWidth="1"/>
    <col min="13" max="14" width="13.42578125" style="93" customWidth="1"/>
    <col min="15" max="15" width="13.7109375" style="93" customWidth="1"/>
    <col min="16" max="16384" width="11.42578125" style="93"/>
  </cols>
  <sheetData>
    <row r="1" spans="1:21" ht="15">
      <c r="A1" s="1553" t="str">
        <f>'SWEPCO TCOS'!F3</f>
        <v xml:space="preserve">AEP West SPP Member Operating Companies </v>
      </c>
      <c r="B1" s="1553"/>
      <c r="C1" s="1553"/>
      <c r="D1" s="1553"/>
      <c r="E1" s="1553"/>
      <c r="F1" s="1553"/>
      <c r="G1" s="1553"/>
      <c r="H1" s="324"/>
      <c r="I1" s="38"/>
      <c r="J1" s="38"/>
    </row>
    <row r="2" spans="1:21" ht="15">
      <c r="A2" s="1553" t="str">
        <f>"Actual / Projected "&amp;'SWEPCO TCOS'!$N$1&amp;" Rate Year Cost of Service Formula Rate "</f>
        <v xml:space="preserve">Actual / Projected 2019 Rate Year Cost of Service Formula Rate </v>
      </c>
      <c r="B2" s="1553"/>
      <c r="C2" s="1553"/>
      <c r="D2" s="1553"/>
      <c r="E2" s="1553"/>
      <c r="F2" s="1553"/>
      <c r="G2" s="1553"/>
      <c r="H2" s="341"/>
    </row>
    <row r="3" spans="1:21" ht="15.75">
      <c r="A3" s="1554" t="s">
        <v>1128</v>
      </c>
      <c r="B3" s="1553"/>
      <c r="C3" s="1553"/>
      <c r="D3" s="1553"/>
      <c r="E3" s="1553"/>
      <c r="F3" s="1553"/>
      <c r="G3" s="1553"/>
      <c r="H3" s="384"/>
    </row>
    <row r="4" spans="1:21" ht="15.75">
      <c r="A4" s="1555" t="str">
        <f>+'SWEPCO TCOS'!$F$7</f>
        <v>SOUTHWESTERN ELECTRIC POWER COMPANY</v>
      </c>
      <c r="B4" s="1554"/>
      <c r="C4" s="1554"/>
      <c r="D4" s="1554"/>
      <c r="E4" s="1554"/>
      <c r="F4" s="1554"/>
      <c r="G4" s="1554"/>
      <c r="H4" s="460"/>
    </row>
    <row r="5" spans="1:21" ht="15">
      <c r="A5" s="460"/>
      <c r="B5" s="460"/>
      <c r="C5" s="460"/>
      <c r="E5" s="461"/>
      <c r="F5" s="461"/>
      <c r="G5" s="461"/>
      <c r="H5" s="461"/>
      <c r="I5" s="461"/>
    </row>
    <row r="6" spans="1:21">
      <c r="C6" s="107" t="s">
        <v>338</v>
      </c>
      <c r="D6" s="107" t="s">
        <v>339</v>
      </c>
      <c r="E6" s="107" t="s">
        <v>340</v>
      </c>
      <c r="F6" s="107" t="s">
        <v>341</v>
      </c>
      <c r="G6" s="107" t="s">
        <v>266</v>
      </c>
      <c r="H6" s="107"/>
      <c r="I6" s="107"/>
    </row>
    <row r="7" spans="1:21">
      <c r="A7" s="1284" t="s">
        <v>345</v>
      </c>
      <c r="C7" s="107"/>
      <c r="D7" s="107"/>
      <c r="E7" s="178" t="s">
        <v>27</v>
      </c>
      <c r="F7" s="178" t="s">
        <v>74</v>
      </c>
      <c r="G7" s="1551" t="str">
        <f>"Average Balance for "&amp;'SWEPCO TCOS'!$N$1&amp;""</f>
        <v>Average Balance for 2019</v>
      </c>
      <c r="H7" s="107"/>
      <c r="I7" s="107"/>
    </row>
    <row r="8" spans="1:21">
      <c r="A8" s="1284" t="s">
        <v>283</v>
      </c>
      <c r="C8" s="178" t="s">
        <v>240</v>
      </c>
      <c r="D8" s="178" t="s">
        <v>239</v>
      </c>
      <c r="E8" s="909" t="str">
        <f>"12/31/"&amp;'SWEPCO TCOS'!$N$1&amp;""</f>
        <v>12/31/2019</v>
      </c>
      <c r="F8" s="909" t="str">
        <f>"12/31/"&amp;'SWEPCO TCOS'!$N$1-1&amp;""</f>
        <v>12/31/2018</v>
      </c>
      <c r="G8" s="1552"/>
      <c r="H8" s="178"/>
      <c r="I8" s="178"/>
      <c r="K8" s="38"/>
      <c r="L8" s="38"/>
      <c r="M8" s="38"/>
      <c r="N8" s="38"/>
    </row>
    <row r="9" spans="1:21">
      <c r="A9" s="40"/>
      <c r="B9" s="40"/>
      <c r="C9" s="40"/>
      <c r="D9" s="40"/>
      <c r="F9" s="365"/>
      <c r="G9" s="87"/>
      <c r="H9" s="87"/>
      <c r="I9" s="40"/>
      <c r="J9" s="87"/>
      <c r="K9" s="38"/>
      <c r="L9" s="38"/>
      <c r="M9" s="38"/>
      <c r="N9" s="38"/>
    </row>
    <row r="10" spans="1:21">
      <c r="A10" s="138" t="s">
        <v>1283</v>
      </c>
      <c r="B10" s="40"/>
      <c r="C10" s="40"/>
      <c r="D10" s="40"/>
      <c r="F10" s="365"/>
      <c r="G10" s="87"/>
      <c r="H10" s="87"/>
      <c r="I10" s="40"/>
      <c r="J10" s="87"/>
      <c r="K10" s="38"/>
      <c r="L10" s="38"/>
      <c r="M10" s="38"/>
      <c r="N10" s="38"/>
    </row>
    <row r="11" spans="1:21" ht="32.25" customHeight="1">
      <c r="A11" s="1550" t="str">
        <f>"See Note "&amp;'SWEPCO TCOS'!B314&amp;" at the TCOS worksheet for a description of Transmission Serving Generation."</f>
        <v>See Note U at the TCOS worksheet for a description of Transmission Serving Generation.</v>
      </c>
      <c r="B11" s="1550"/>
      <c r="C11" s="1550"/>
      <c r="D11" s="1550"/>
      <c r="E11" s="1550"/>
      <c r="F11" s="1550"/>
      <c r="G11" s="1550"/>
      <c r="H11" s="87"/>
      <c r="I11" s="40"/>
      <c r="J11" s="87"/>
      <c r="K11" s="38"/>
      <c r="L11" s="38"/>
      <c r="M11" s="38"/>
      <c r="N11" s="38"/>
    </row>
    <row r="12" spans="1:21">
      <c r="A12" s="40"/>
      <c r="B12" s="40"/>
      <c r="C12" s="40"/>
      <c r="D12" s="865"/>
      <c r="E12" s="865"/>
      <c r="F12" s="865"/>
      <c r="G12" s="87"/>
      <c r="H12" s="87"/>
      <c r="I12" s="40"/>
      <c r="J12" s="87"/>
      <c r="K12" s="38"/>
      <c r="L12" s="38"/>
      <c r="M12" s="38"/>
      <c r="N12" s="38"/>
    </row>
    <row r="13" spans="1:21">
      <c r="A13" s="110" t="s">
        <v>88</v>
      </c>
      <c r="B13" s="40"/>
      <c r="C13" s="40"/>
      <c r="D13" s="865"/>
      <c r="E13" s="865"/>
      <c r="F13" s="865"/>
      <c r="G13" s="87"/>
      <c r="H13" s="87"/>
      <c r="I13" s="40"/>
      <c r="J13" s="87"/>
      <c r="K13" s="38"/>
      <c r="L13" s="38"/>
      <c r="M13" s="38"/>
      <c r="N13" s="38"/>
    </row>
    <row r="14" spans="1:21" ht="5.25" customHeight="1">
      <c r="B14" s="84"/>
      <c r="C14" s="110"/>
      <c r="D14" s="89"/>
      <c r="E14" s="38"/>
      <c r="I14" s="38"/>
      <c r="J14" s="366"/>
      <c r="K14" s="38"/>
      <c r="L14" s="38"/>
      <c r="M14" s="38"/>
      <c r="N14" s="38"/>
      <c r="O14" s="366"/>
      <c r="P14" s="366"/>
      <c r="Q14" s="366"/>
      <c r="R14" s="366"/>
      <c r="S14" s="366"/>
      <c r="T14" s="366"/>
      <c r="U14" s="366"/>
    </row>
    <row r="15" spans="1:21">
      <c r="A15" s="97">
        <v>1</v>
      </c>
      <c r="B15" s="91"/>
      <c r="C15" s="111" t="s">
        <v>389</v>
      </c>
      <c r="D15" s="88" t="s">
        <v>77</v>
      </c>
      <c r="E15" s="869">
        <f>+'[4]Inputs 2019'!H79</f>
        <v>4759301287.1977501</v>
      </c>
      <c r="F15" s="869">
        <f>+'[4]Inputs 2019'!I79</f>
        <v>4727085427.0074997</v>
      </c>
      <c r="G15" s="1101">
        <f>IF(F15="",0,(E15+F15)/2)</f>
        <v>4743193357.1026249</v>
      </c>
      <c r="H15" s="98"/>
      <c r="I15" s="91"/>
      <c r="J15" s="97"/>
      <c r="K15" s="87"/>
      <c r="L15" s="87"/>
      <c r="M15" s="87"/>
      <c r="N15" s="87"/>
    </row>
    <row r="16" spans="1:21">
      <c r="A16" s="97">
        <f>+A15+1</f>
        <v>2</v>
      </c>
      <c r="B16" s="91"/>
      <c r="C16" s="86" t="s">
        <v>1197</v>
      </c>
      <c r="D16" s="88" t="s">
        <v>1198</v>
      </c>
      <c r="E16" s="869"/>
      <c r="F16" s="869"/>
      <c r="G16" s="1101">
        <f>IF(F16="",0,(E16+F16)/2)</f>
        <v>0</v>
      </c>
      <c r="H16" s="98"/>
      <c r="I16" s="91"/>
      <c r="J16" s="97"/>
      <c r="K16" s="87"/>
      <c r="L16" s="87"/>
      <c r="M16" s="87"/>
      <c r="N16" s="87"/>
    </row>
    <row r="17" spans="1:14">
      <c r="A17" s="97">
        <f>+A16+1</f>
        <v>3</v>
      </c>
      <c r="B17" s="91"/>
      <c r="C17" s="86" t="s">
        <v>1199</v>
      </c>
      <c r="D17" s="88"/>
      <c r="E17" s="1075">
        <f>+E15+E16</f>
        <v>4759301287.1977501</v>
      </c>
      <c r="F17" s="1075">
        <f>+F15+F16</f>
        <v>4727085427.0074997</v>
      </c>
      <c r="G17" s="1101">
        <f>IF(F17="",0,(E17+F17)/2)</f>
        <v>4743193357.1026249</v>
      </c>
      <c r="H17" s="98"/>
      <c r="I17" s="91"/>
      <c r="J17" s="97"/>
      <c r="K17" s="87"/>
      <c r="L17" s="87"/>
      <c r="M17" s="87"/>
      <c r="N17" s="87"/>
    </row>
    <row r="18" spans="1:14">
      <c r="B18" s="91"/>
      <c r="C18" s="86"/>
      <c r="D18" s="88"/>
      <c r="E18" s="85"/>
      <c r="F18" s="85"/>
      <c r="G18" s="98"/>
      <c r="H18" s="98"/>
      <c r="I18" s="91"/>
      <c r="J18" s="97"/>
      <c r="K18" s="87"/>
      <c r="L18" s="87"/>
      <c r="M18" s="87"/>
      <c r="N18" s="87"/>
    </row>
    <row r="19" spans="1:14">
      <c r="A19" s="97">
        <f>+A17+1</f>
        <v>4</v>
      </c>
      <c r="B19" s="91"/>
      <c r="C19" s="86" t="s">
        <v>205</v>
      </c>
      <c r="D19" s="88" t="s">
        <v>85</v>
      </c>
      <c r="E19" s="869">
        <f>+'[4]Inputs 2019'!H81</f>
        <v>61057785</v>
      </c>
      <c r="F19" s="869">
        <f>+'[4]Inputs 2019'!I81</f>
        <v>61180785</v>
      </c>
      <c r="G19" s="1101">
        <f>IF(F19="",0,(E19+F19)/2)</f>
        <v>61119285</v>
      </c>
      <c r="H19" s="98"/>
      <c r="I19" s="91"/>
      <c r="J19" s="97"/>
      <c r="K19" s="87"/>
      <c r="L19" s="87"/>
      <c r="M19" s="87"/>
      <c r="N19" s="87"/>
    </row>
    <row r="20" spans="1:14">
      <c r="A20" s="97">
        <f>+A19+1</f>
        <v>5</v>
      </c>
      <c r="B20" s="91"/>
      <c r="C20" s="86" t="s">
        <v>1203</v>
      </c>
      <c r="D20" s="88" t="s">
        <v>1198</v>
      </c>
      <c r="E20" s="869"/>
      <c r="F20" s="869"/>
      <c r="G20" s="1101">
        <f>IF(F20="",0,(E20+F20)/2)</f>
        <v>0</v>
      </c>
      <c r="H20" s="98"/>
      <c r="I20" s="91"/>
      <c r="J20" s="97"/>
      <c r="K20" s="87"/>
      <c r="L20" s="87"/>
      <c r="M20" s="87"/>
      <c r="N20" s="87"/>
    </row>
    <row r="21" spans="1:14">
      <c r="A21" s="97">
        <f>+A20+1</f>
        <v>6</v>
      </c>
      <c r="B21" s="91"/>
      <c r="C21" s="86" t="s">
        <v>1204</v>
      </c>
      <c r="D21" s="88"/>
      <c r="E21" s="1075">
        <f>+E19+E20</f>
        <v>61057785</v>
      </c>
      <c r="F21" s="1075">
        <f>+F19+F20</f>
        <v>61180785</v>
      </c>
      <c r="G21" s="1101">
        <f>IF(F21="",0,(E21+F21)/2)</f>
        <v>61119285</v>
      </c>
      <c r="H21" s="98"/>
      <c r="I21" s="91"/>
      <c r="J21" s="97"/>
      <c r="K21" s="87"/>
      <c r="L21" s="87"/>
      <c r="M21" s="87"/>
      <c r="N21" s="87"/>
    </row>
    <row r="22" spans="1:14">
      <c r="A22" s="38"/>
      <c r="B22" s="38"/>
      <c r="C22" s="38"/>
      <c r="E22" s="857"/>
      <c r="F22" s="857"/>
      <c r="G22" s="38"/>
      <c r="H22" s="38"/>
      <c r="I22" s="38"/>
      <c r="J22" s="38"/>
      <c r="K22" s="38"/>
      <c r="L22" s="38"/>
      <c r="M22" s="87"/>
      <c r="N22" s="87"/>
    </row>
    <row r="23" spans="1:14">
      <c r="A23" s="97">
        <f>+A21+1</f>
        <v>7</v>
      </c>
      <c r="C23" s="111" t="s">
        <v>385</v>
      </c>
      <c r="D23" s="88" t="s">
        <v>78</v>
      </c>
      <c r="E23" s="869">
        <f>+'[4]Inputs 2019'!H83</f>
        <v>2008632153.7638299</v>
      </c>
      <c r="F23" s="869">
        <f>+'[4]Inputs 2019'!I83</f>
        <v>1845274304.95191</v>
      </c>
      <c r="G23" s="1101">
        <f>IF(F23="",0,(E23+F23)/2)</f>
        <v>1926953229.3578701</v>
      </c>
      <c r="H23" s="38"/>
      <c r="I23" s="91"/>
      <c r="J23" s="97"/>
      <c r="K23" s="87"/>
      <c r="L23" s="87"/>
      <c r="M23" s="87"/>
      <c r="N23" s="87"/>
    </row>
    <row r="24" spans="1:14">
      <c r="A24" s="97">
        <f>+A23+1</f>
        <v>8</v>
      </c>
      <c r="C24" s="86" t="s">
        <v>1200</v>
      </c>
      <c r="D24" s="88" t="s">
        <v>1198</v>
      </c>
      <c r="E24" s="869"/>
      <c r="F24" s="869"/>
      <c r="G24" s="1101">
        <f>IF(F24="",0,(E24+F24)/2)</f>
        <v>0</v>
      </c>
      <c r="H24" s="38"/>
      <c r="I24" s="91"/>
      <c r="J24" s="97"/>
      <c r="K24" s="87"/>
      <c r="L24" s="87"/>
      <c r="M24" s="87"/>
      <c r="N24" s="87"/>
    </row>
    <row r="25" spans="1:14">
      <c r="A25" s="97">
        <f>+A24+1</f>
        <v>9</v>
      </c>
      <c r="C25" s="86" t="s">
        <v>1201</v>
      </c>
      <c r="D25" s="88"/>
      <c r="E25" s="1076">
        <f>+E23+E24</f>
        <v>2008632153.7638299</v>
      </c>
      <c r="F25" s="1076">
        <f>+F23+F24</f>
        <v>1845274304.95191</v>
      </c>
      <c r="G25" s="1101">
        <f>IF(F25="",0,(E25+F25)/2)</f>
        <v>1926953229.3578701</v>
      </c>
      <c r="H25" s="38"/>
      <c r="I25" s="91"/>
      <c r="J25" s="97"/>
      <c r="K25" s="87"/>
      <c r="L25" s="87"/>
      <c r="M25" s="87"/>
      <c r="N25" s="87"/>
    </row>
    <row r="26" spans="1:14">
      <c r="B26" s="89"/>
      <c r="E26" s="857"/>
      <c r="F26" s="857"/>
      <c r="G26" s="92"/>
      <c r="H26" s="92"/>
      <c r="I26" s="91"/>
      <c r="J26" s="97"/>
      <c r="K26" s="87"/>
      <c r="L26" s="87"/>
      <c r="M26" s="87"/>
      <c r="N26" s="87"/>
    </row>
    <row r="27" spans="1:14">
      <c r="A27" s="97">
        <f>+A25+1</f>
        <v>10</v>
      </c>
      <c r="B27" s="89"/>
      <c r="C27" s="86" t="s">
        <v>1129</v>
      </c>
      <c r="D27" s="88" t="s">
        <v>79</v>
      </c>
      <c r="E27" s="869"/>
      <c r="F27" s="869"/>
      <c r="G27" s="1101">
        <f>IF(F27="",0,(E27+F27)/2)</f>
        <v>0</v>
      </c>
      <c r="H27" s="92"/>
      <c r="I27" s="91"/>
      <c r="J27" s="97"/>
      <c r="K27" s="87"/>
      <c r="L27" s="87"/>
      <c r="M27" s="87"/>
      <c r="N27" s="87"/>
    </row>
    <row r="28" spans="1:14">
      <c r="A28" s="97">
        <f>+A27+1</f>
        <v>11</v>
      </c>
      <c r="B28" s="89"/>
      <c r="C28" s="86" t="s">
        <v>1202</v>
      </c>
      <c r="D28" s="88" t="s">
        <v>1198</v>
      </c>
      <c r="E28" s="869"/>
      <c r="F28" s="869"/>
      <c r="G28" s="1101">
        <f>IF(F28="",0,(E28+F28)/2)</f>
        <v>0</v>
      </c>
      <c r="H28" s="92"/>
      <c r="I28" s="91"/>
      <c r="J28" s="97"/>
      <c r="K28" s="87"/>
      <c r="L28" s="87"/>
      <c r="M28" s="87"/>
      <c r="N28" s="87"/>
    </row>
    <row r="29" spans="1:14">
      <c r="A29" s="97">
        <f>+A28+1</f>
        <v>12</v>
      </c>
      <c r="B29" s="89"/>
      <c r="C29" s="86" t="s">
        <v>1205</v>
      </c>
      <c r="D29" s="88"/>
      <c r="E29" s="1075">
        <f>+E27+E28</f>
        <v>0</v>
      </c>
      <c r="F29" s="1075">
        <f>+F27+F28</f>
        <v>0</v>
      </c>
      <c r="G29" s="1101">
        <f>IF(F29="",0,(E29+F29)/2)</f>
        <v>0</v>
      </c>
      <c r="H29" s="92"/>
      <c r="I29" s="91"/>
      <c r="J29" s="97"/>
      <c r="K29" s="87"/>
      <c r="L29" s="87"/>
      <c r="M29" s="87"/>
      <c r="N29" s="87"/>
    </row>
    <row r="30" spans="1:14">
      <c r="B30" s="91"/>
      <c r="C30" s="86"/>
      <c r="D30" s="89"/>
      <c r="E30" s="857"/>
      <c r="F30" s="857"/>
      <c r="G30" s="98"/>
      <c r="H30" s="98"/>
      <c r="I30" s="91"/>
      <c r="J30" s="97"/>
      <c r="K30" s="87"/>
      <c r="L30" s="87"/>
      <c r="M30" s="87"/>
      <c r="N30" s="87"/>
    </row>
    <row r="31" spans="1:14">
      <c r="A31" s="97">
        <f>+A29+1</f>
        <v>13</v>
      </c>
      <c r="B31" s="91"/>
      <c r="C31" s="111" t="s">
        <v>386</v>
      </c>
      <c r="D31" s="88" t="s">
        <v>80</v>
      </c>
      <c r="E31" s="869">
        <f>+'[4]Inputs 2019'!H87</f>
        <v>2330458938.85146</v>
      </c>
      <c r="F31" s="869">
        <f>+'[4]Inputs 2019'!I87</f>
        <v>2213495606.1956596</v>
      </c>
      <c r="G31" s="1101">
        <f>IF(F31="",0,(E31+F31)/2)</f>
        <v>2271977272.5235596</v>
      </c>
      <c r="H31" s="98"/>
      <c r="I31" s="91"/>
      <c r="J31" s="97"/>
      <c r="K31" s="87"/>
      <c r="L31" s="87"/>
      <c r="M31" s="87"/>
      <c r="N31" s="87"/>
    </row>
    <row r="32" spans="1:14">
      <c r="B32" s="91"/>
      <c r="C32" s="86"/>
      <c r="D32" s="88"/>
      <c r="E32" s="857"/>
      <c r="F32" s="857"/>
      <c r="G32" s="98"/>
      <c r="H32" s="98"/>
      <c r="I32" s="91"/>
      <c r="J32" s="97"/>
      <c r="K32" s="87"/>
      <c r="L32" s="87"/>
      <c r="M32" s="87"/>
      <c r="N32" s="87"/>
    </row>
    <row r="33" spans="1:14">
      <c r="A33" s="97">
        <f>+A31+1</f>
        <v>14</v>
      </c>
      <c r="B33" s="91"/>
      <c r="C33" s="86" t="s">
        <v>19</v>
      </c>
      <c r="D33" s="88" t="s">
        <v>81</v>
      </c>
      <c r="E33" s="869">
        <v>0</v>
      </c>
      <c r="F33" s="869">
        <v>0</v>
      </c>
      <c r="G33" s="1101">
        <f>IF(F33="",0,(E33+F33)/2)</f>
        <v>0</v>
      </c>
      <c r="H33" s="98"/>
      <c r="I33" s="91"/>
      <c r="J33" s="97"/>
      <c r="K33" s="87"/>
      <c r="L33" s="87"/>
      <c r="M33" s="87"/>
      <c r="N33" s="87"/>
    </row>
    <row r="34" spans="1:14">
      <c r="B34" s="91"/>
      <c r="C34" s="86"/>
      <c r="D34" s="89"/>
      <c r="E34" s="857"/>
      <c r="F34" s="857"/>
      <c r="G34" s="98"/>
      <c r="H34" s="98"/>
      <c r="I34" s="91"/>
      <c r="J34" s="97"/>
      <c r="K34" s="87"/>
      <c r="L34" s="87"/>
      <c r="M34" s="87"/>
      <c r="N34" s="87"/>
    </row>
    <row r="35" spans="1:14">
      <c r="A35" s="97">
        <f>+A33+1</f>
        <v>15</v>
      </c>
      <c r="B35" s="91"/>
      <c r="C35" s="111" t="s">
        <v>388</v>
      </c>
      <c r="D35" s="88" t="s">
        <v>82</v>
      </c>
      <c r="E35" s="869">
        <f>+'[4]Inputs 2019'!H91</f>
        <v>299408836.72861302</v>
      </c>
      <c r="F35" s="869">
        <f>+'[4]Inputs 2019'!I91</f>
        <v>300787375.47959203</v>
      </c>
      <c r="G35" s="1101">
        <f>IF(F35="",0,(E35+F35)/2)</f>
        <v>300098106.10410249</v>
      </c>
      <c r="H35" s="98"/>
      <c r="I35" s="91"/>
      <c r="J35" s="97"/>
      <c r="K35" s="87"/>
      <c r="L35" s="87"/>
      <c r="M35" s="87"/>
      <c r="N35" s="87"/>
    </row>
    <row r="36" spans="1:14">
      <c r="B36" s="91"/>
      <c r="C36" s="86"/>
      <c r="D36" s="88"/>
      <c r="E36" s="857"/>
      <c r="F36" s="857"/>
      <c r="G36" s="98"/>
      <c r="H36" s="98"/>
      <c r="I36" s="91"/>
      <c r="J36" s="97"/>
      <c r="K36" s="87"/>
      <c r="L36" s="87"/>
      <c r="M36" s="87"/>
      <c r="N36" s="87"/>
    </row>
    <row r="37" spans="1:14">
      <c r="A37" s="97">
        <f>+A35+1</f>
        <v>16</v>
      </c>
      <c r="B37" s="91"/>
      <c r="C37" s="86" t="s">
        <v>1130</v>
      </c>
      <c r="D37" s="88" t="s">
        <v>83</v>
      </c>
      <c r="E37" s="869">
        <f>+'[4]Inputs 2019'!H93</f>
        <v>937494</v>
      </c>
      <c r="F37" s="869">
        <f>+'[4]Inputs 2019'!I93</f>
        <v>937494</v>
      </c>
      <c r="G37" s="1101">
        <f>IF(F37="",0,(E37+F37)/2)</f>
        <v>937494</v>
      </c>
      <c r="H37" s="98"/>
      <c r="I37" s="91"/>
      <c r="J37" s="97"/>
      <c r="K37" s="87"/>
      <c r="L37" s="87"/>
      <c r="M37" s="87"/>
      <c r="N37" s="87"/>
    </row>
    <row r="38" spans="1:14">
      <c r="B38" s="91"/>
      <c r="C38" s="86"/>
      <c r="D38" s="89"/>
      <c r="E38" s="857"/>
      <c r="F38" s="857"/>
      <c r="G38" s="98"/>
      <c r="H38" s="98"/>
      <c r="I38" s="91"/>
      <c r="J38" s="97"/>
      <c r="K38" s="87"/>
      <c r="L38" s="87"/>
      <c r="M38" s="87"/>
      <c r="N38" s="87"/>
    </row>
    <row r="39" spans="1:14">
      <c r="A39" s="97">
        <f>+A37+1</f>
        <v>17</v>
      </c>
      <c r="B39" s="91"/>
      <c r="C39" s="111" t="s">
        <v>387</v>
      </c>
      <c r="D39" s="88" t="s">
        <v>84</v>
      </c>
      <c r="E39" s="869">
        <f>+'[4]Inputs 2019'!H95</f>
        <v>152187554.20624599</v>
      </c>
      <c r="F39" s="869">
        <f>+'[4]Inputs 2019'!I95</f>
        <v>124460997.74483199</v>
      </c>
      <c r="G39" s="1101">
        <f>IF(F39="",0,(E39+F39)/2)</f>
        <v>138324275.975539</v>
      </c>
      <c r="H39" s="98"/>
      <c r="I39" s="91"/>
      <c r="J39" s="97"/>
      <c r="K39" s="87"/>
      <c r="L39" s="87"/>
      <c r="M39" s="87"/>
      <c r="N39" s="87"/>
    </row>
    <row r="40" spans="1:14">
      <c r="B40" s="91"/>
      <c r="C40" s="86"/>
      <c r="D40" s="88"/>
      <c r="E40" s="85"/>
      <c r="F40" s="98"/>
      <c r="G40" s="98"/>
      <c r="H40" s="98"/>
      <c r="I40" s="91"/>
      <c r="J40" s="97"/>
      <c r="K40" s="87"/>
      <c r="L40" s="87"/>
      <c r="M40" s="87"/>
      <c r="N40" s="87"/>
    </row>
    <row r="41" spans="1:14">
      <c r="A41" s="97">
        <f>+A39+1</f>
        <v>18</v>
      </c>
      <c r="B41" s="91"/>
      <c r="C41" s="86" t="s">
        <v>20</v>
      </c>
      <c r="D41" s="88" t="str">
        <f>"(Sum of Lines: "&amp;A17&amp;", "&amp;A25&amp;", "&amp;A31&amp;", "&amp;A35&amp;", "&amp;A39&amp;")"</f>
        <v>(Sum of Lines: 3, 9, 13, 15, 17)</v>
      </c>
      <c r="E41" s="367">
        <f>+E25+E17+E31+E35+E39</f>
        <v>9549988770.7478981</v>
      </c>
      <c r="F41" s="367">
        <f>+F25+F17+F31+F35+F39</f>
        <v>9211103711.3794918</v>
      </c>
      <c r="G41" s="367">
        <f>+G25+G17+G31+G35+G39</f>
        <v>9380546241.0636959</v>
      </c>
      <c r="H41" s="268"/>
      <c r="I41" s="91"/>
      <c r="J41" s="97"/>
      <c r="K41" s="87"/>
      <c r="L41" s="87"/>
      <c r="M41" s="87"/>
      <c r="N41" s="87"/>
    </row>
    <row r="42" spans="1:14">
      <c r="B42" s="91"/>
      <c r="C42" s="86"/>
      <c r="D42" s="89"/>
      <c r="E42" s="189"/>
      <c r="F42" s="85"/>
      <c r="G42" s="368"/>
      <c r="H42" s="98"/>
      <c r="I42" s="91"/>
      <c r="J42" s="97"/>
      <c r="K42" s="87"/>
      <c r="L42" s="87"/>
      <c r="M42" s="87"/>
      <c r="N42" s="87"/>
    </row>
    <row r="43" spans="1:14">
      <c r="A43" s="97">
        <f>+A41+1</f>
        <v>19</v>
      </c>
      <c r="B43" s="91"/>
      <c r="C43" s="86" t="str">
        <f>"Total ARO Balance (included in total on line "&amp;A41&amp;")"</f>
        <v>Total ARO Balance (included in total on line 18)</v>
      </c>
      <c r="D43" s="88" t="str">
        <f>"(Sum of Lines: "&amp;A21&amp;", "&amp;A29&amp;", "&amp;A33&amp;", "&amp;A37&amp;")"</f>
        <v>(Sum of Lines: 6, 12, 14, 16)</v>
      </c>
      <c r="E43" s="367">
        <f>+E29+E21+E33+E37</f>
        <v>61995279</v>
      </c>
      <c r="F43" s="367">
        <f>+F29+F21+F33+F37</f>
        <v>62118279</v>
      </c>
      <c r="G43" s="367">
        <f>+G29+G21+G33+G37</f>
        <v>62056779</v>
      </c>
      <c r="H43" s="268"/>
      <c r="I43" s="91"/>
      <c r="J43" s="97"/>
      <c r="K43" s="87"/>
      <c r="L43" s="87"/>
      <c r="M43" s="87"/>
      <c r="N43" s="87"/>
    </row>
    <row r="44" spans="1:14">
      <c r="B44" s="91"/>
      <c r="C44" s="86"/>
      <c r="D44" s="89"/>
      <c r="E44" s="368"/>
      <c r="F44" s="368"/>
      <c r="G44" s="368" t="str">
        <f>IF((E43+F43)/2=G43,"","Error")</f>
        <v/>
      </c>
      <c r="H44" s="98"/>
      <c r="I44" s="91"/>
      <c r="J44" s="97"/>
      <c r="K44" s="87"/>
      <c r="L44" s="87"/>
      <c r="M44" s="87"/>
      <c r="N44" s="87"/>
    </row>
    <row r="45" spans="1:14">
      <c r="A45" s="110" t="s">
        <v>22</v>
      </c>
      <c r="B45" s="91"/>
      <c r="C45" s="86"/>
      <c r="D45" s="89"/>
      <c r="E45" s="189"/>
      <c r="F45" s="98"/>
      <c r="G45" s="98"/>
      <c r="H45" s="98"/>
      <c r="I45" s="91"/>
      <c r="J45" s="97"/>
      <c r="K45" s="87"/>
      <c r="L45" s="87"/>
      <c r="M45" s="87"/>
      <c r="N45" s="87"/>
    </row>
    <row r="46" spans="1:14" ht="3" customHeight="1">
      <c r="B46" s="91"/>
      <c r="C46" s="86"/>
      <c r="D46" s="89"/>
      <c r="E46" s="189"/>
      <c r="F46" s="98"/>
      <c r="G46" s="98"/>
      <c r="H46" s="98"/>
      <c r="I46" s="91"/>
      <c r="J46" s="97"/>
      <c r="K46" s="87"/>
      <c r="L46" s="87"/>
      <c r="M46" s="87"/>
      <c r="N46" s="87"/>
    </row>
    <row r="47" spans="1:14" ht="12.75" customHeight="1">
      <c r="A47" s="97">
        <f>+A43+1</f>
        <v>20</v>
      </c>
      <c r="B47" s="91"/>
      <c r="C47" s="111" t="s">
        <v>392</v>
      </c>
      <c r="D47" s="88" t="s">
        <v>34</v>
      </c>
      <c r="E47" s="869">
        <f>+'[4]Inputs 2019'!H103</f>
        <v>1660015290.9057624</v>
      </c>
      <c r="F47" s="869">
        <f>+'[4]Inputs 2019'!I103</f>
        <v>1569121008.5016026</v>
      </c>
      <c r="G47" s="1101">
        <f>IF(F47="",0,(E47+F47)/2)</f>
        <v>1614568149.7036824</v>
      </c>
      <c r="H47" s="89"/>
      <c r="I47" s="97"/>
      <c r="J47" s="89"/>
      <c r="K47" s="87"/>
      <c r="L47" s="87"/>
      <c r="M47" s="87"/>
      <c r="N47" s="87"/>
    </row>
    <row r="48" spans="1:14" ht="12.75" customHeight="1">
      <c r="A48" s="97">
        <f>+A47+1</f>
        <v>21</v>
      </c>
      <c r="B48" s="91"/>
      <c r="C48" s="86" t="s">
        <v>1197</v>
      </c>
      <c r="D48" s="88" t="s">
        <v>1198</v>
      </c>
      <c r="E48" s="869"/>
      <c r="F48" s="869"/>
      <c r="G48" s="1101">
        <f>IF(F48="",0,(E48+F48)/2)</f>
        <v>0</v>
      </c>
      <c r="H48" s="89"/>
      <c r="I48" s="97"/>
      <c r="J48" s="89"/>
      <c r="K48" s="87"/>
      <c r="L48" s="87"/>
      <c r="M48" s="87"/>
      <c r="N48" s="87"/>
    </row>
    <row r="49" spans="1:14" ht="12.75" customHeight="1">
      <c r="A49" s="97">
        <f>+A48+1</f>
        <v>22</v>
      </c>
      <c r="B49" s="91"/>
      <c r="C49" s="86" t="s">
        <v>1199</v>
      </c>
      <c r="D49" s="88"/>
      <c r="E49" s="1075">
        <f>+E47+E48</f>
        <v>1660015290.9057624</v>
      </c>
      <c r="F49" s="1075">
        <f>+F47+F48</f>
        <v>1569121008.5016026</v>
      </c>
      <c r="G49" s="1101">
        <f>IF(F49="",0,(E49+F49)/2)</f>
        <v>1614568149.7036824</v>
      </c>
      <c r="H49" s="89"/>
      <c r="I49" s="97"/>
      <c r="J49" s="89"/>
      <c r="K49" s="87"/>
      <c r="L49" s="87"/>
      <c r="M49" s="87"/>
      <c r="N49" s="87"/>
    </row>
    <row r="50" spans="1:14" ht="12.75" customHeight="1">
      <c r="B50" s="91"/>
      <c r="C50" s="86"/>
      <c r="D50" s="88"/>
      <c r="E50" s="85"/>
      <c r="F50" s="85"/>
      <c r="G50" s="98"/>
      <c r="H50" s="98"/>
      <c r="I50" s="100"/>
      <c r="J50" s="99"/>
      <c r="K50" s="87"/>
      <c r="L50" s="87"/>
      <c r="M50" s="87"/>
      <c r="N50" s="87"/>
    </row>
    <row r="51" spans="1:14" ht="12.75" customHeight="1">
      <c r="A51" s="97">
        <f>+A49+1</f>
        <v>23</v>
      </c>
      <c r="B51" s="91"/>
      <c r="C51" s="86" t="str">
        <f>"Production ARO Accumulated Depreciation (included in total on line "&amp;A47&amp;")"</f>
        <v>Production ARO Accumulated Depreciation (included in total on line 20)</v>
      </c>
      <c r="D51" s="88" t="s">
        <v>1084</v>
      </c>
      <c r="E51" s="869">
        <f>+'[4]Inputs 2019'!H105</f>
        <v>12729613.5381999</v>
      </c>
      <c r="F51" s="869">
        <f>+'[4]Inputs 2019'!I105</f>
        <v>11375912.087799899</v>
      </c>
      <c r="G51" s="1101">
        <f>IF(F51="",0,(E51+F51)/2)</f>
        <v>12052762.8129999</v>
      </c>
      <c r="H51" s="108"/>
      <c r="I51" s="100"/>
      <c r="J51" s="89"/>
      <c r="K51" s="89"/>
      <c r="L51" s="89"/>
      <c r="M51" s="89"/>
      <c r="N51" s="89"/>
    </row>
    <row r="52" spans="1:14">
      <c r="A52" s="97">
        <f>+A51+1</f>
        <v>24</v>
      </c>
      <c r="B52" s="91"/>
      <c r="C52" s="86" t="s">
        <v>1203</v>
      </c>
      <c r="D52" s="88" t="s">
        <v>1198</v>
      </c>
      <c r="E52" s="869"/>
      <c r="F52" s="869"/>
      <c r="G52" s="1101">
        <f>IF(F52="",0,(E52+F52)/2)</f>
        <v>0</v>
      </c>
      <c r="H52" s="98"/>
      <c r="I52" s="91"/>
      <c r="J52" s="97"/>
      <c r="K52" s="87"/>
      <c r="L52" s="87"/>
      <c r="M52" s="87"/>
      <c r="N52" s="87"/>
    </row>
    <row r="53" spans="1:14">
      <c r="A53" s="97">
        <f>+A52+1</f>
        <v>25</v>
      </c>
      <c r="B53" s="91"/>
      <c r="C53" s="86" t="s">
        <v>1204</v>
      </c>
      <c r="D53" s="88"/>
      <c r="E53" s="1075">
        <f>+E51+E52</f>
        <v>12729613.5381999</v>
      </c>
      <c r="F53" s="1075">
        <f>+F51+F52</f>
        <v>11375912.087799899</v>
      </c>
      <c r="G53" s="1101">
        <f>IF(F53="",0,(E53+F53)/2)</f>
        <v>12052762.8129999</v>
      </c>
      <c r="H53" s="98"/>
      <c r="I53" s="91"/>
      <c r="J53" s="97"/>
      <c r="K53" s="87"/>
      <c r="L53" s="87"/>
      <c r="M53" s="87"/>
      <c r="N53" s="87"/>
    </row>
    <row r="54" spans="1:14" ht="12.75" customHeight="1">
      <c r="B54" s="91"/>
      <c r="C54" s="86"/>
      <c r="D54" s="89"/>
      <c r="E54" s="857"/>
      <c r="F54" s="857"/>
      <c r="G54" s="98"/>
      <c r="H54" s="109"/>
      <c r="I54" s="99"/>
      <c r="J54" s="89"/>
      <c r="K54" s="87"/>
      <c r="L54" s="87"/>
      <c r="M54" s="87"/>
      <c r="N54" s="87"/>
    </row>
    <row r="55" spans="1:14" ht="12.75" customHeight="1">
      <c r="A55" s="97">
        <f>+A53+1</f>
        <v>26</v>
      </c>
      <c r="C55" s="111" t="s">
        <v>390</v>
      </c>
      <c r="D55" s="88" t="s">
        <v>35</v>
      </c>
      <c r="E55" s="869">
        <f>+'[4]Inputs 2019'!H107</f>
        <v>573248481.57053745</v>
      </c>
      <c r="F55" s="869">
        <f>+'[4]Inputs 2019'!I107</f>
        <v>537936040.41589451</v>
      </c>
      <c r="G55" s="1101">
        <f>IF(F55="",0,(E55+F55)/2)</f>
        <v>555592260.99321604</v>
      </c>
      <c r="H55" s="327"/>
      <c r="I55" s="91"/>
      <c r="J55" s="89"/>
      <c r="K55" s="87"/>
      <c r="L55" s="87"/>
      <c r="M55" s="87"/>
      <c r="N55" s="87"/>
    </row>
    <row r="56" spans="1:14">
      <c r="A56" s="97">
        <f>+A55+1</f>
        <v>27</v>
      </c>
      <c r="C56" s="86" t="s">
        <v>1200</v>
      </c>
      <c r="D56" s="88" t="s">
        <v>1198</v>
      </c>
      <c r="E56" s="869"/>
      <c r="F56" s="869"/>
      <c r="G56" s="1101">
        <f>IF(F56="",0,(E56+F56)/2)</f>
        <v>0</v>
      </c>
      <c r="H56" s="38"/>
      <c r="I56" s="91"/>
      <c r="J56" s="97"/>
      <c r="K56" s="87"/>
      <c r="L56" s="87"/>
      <c r="M56" s="87"/>
      <c r="N56" s="87"/>
    </row>
    <row r="57" spans="1:14">
      <c r="A57" s="97">
        <f>+A56+1</f>
        <v>28</v>
      </c>
      <c r="C57" s="86" t="s">
        <v>1201</v>
      </c>
      <c r="D57" s="88"/>
      <c r="E57" s="1076">
        <f>+E55+E56</f>
        <v>573248481.57053745</v>
      </c>
      <c r="F57" s="1076">
        <f>+F55+F56</f>
        <v>537936040.41589451</v>
      </c>
      <c r="G57" s="1101">
        <f>IF(F57="",0,(E57+F57)/2)</f>
        <v>555592260.99321604</v>
      </c>
      <c r="H57" s="38"/>
      <c r="I57" s="91"/>
      <c r="J57" s="97"/>
      <c r="K57" s="87"/>
      <c r="L57" s="87"/>
      <c r="M57" s="87"/>
      <c r="N57" s="87"/>
    </row>
    <row r="58" spans="1:14" ht="12.75" customHeight="1">
      <c r="B58" s="89"/>
      <c r="D58" s="88"/>
      <c r="E58" s="857"/>
      <c r="F58" s="857"/>
      <c r="G58" s="92"/>
      <c r="H58" s="98"/>
      <c r="I58" s="91"/>
      <c r="J58" s="89"/>
      <c r="K58" s="87"/>
      <c r="L58" s="87"/>
      <c r="M58" s="87"/>
      <c r="N58" s="87"/>
    </row>
    <row r="59" spans="1:14" ht="12.75" customHeight="1">
      <c r="A59" s="97">
        <f>+A57+1</f>
        <v>29</v>
      </c>
      <c r="B59" s="89"/>
      <c r="C59" s="86" t="str">
        <f>"Transmission ARO Accumulated Depreciation (included in total on line "&amp;A55&amp;")"</f>
        <v>Transmission ARO Accumulated Depreciation (included in total on line 26)</v>
      </c>
      <c r="D59" s="88" t="s">
        <v>1084</v>
      </c>
      <c r="E59" s="869"/>
      <c r="F59" s="869"/>
      <c r="G59" s="1101">
        <f>IF(F59="",0,(E59+F59)/2)</f>
        <v>0</v>
      </c>
      <c r="H59" s="98"/>
      <c r="I59" s="91"/>
      <c r="J59" s="89"/>
      <c r="K59" s="87"/>
      <c r="L59" s="87"/>
      <c r="M59" s="87"/>
      <c r="N59" s="87"/>
    </row>
    <row r="60" spans="1:14">
      <c r="A60" s="97">
        <f>+A59+1</f>
        <v>30</v>
      </c>
      <c r="B60" s="89"/>
      <c r="C60" s="86" t="s">
        <v>1202</v>
      </c>
      <c r="D60" s="88" t="s">
        <v>1198</v>
      </c>
      <c r="E60" s="869"/>
      <c r="F60" s="869"/>
      <c r="G60" s="1101">
        <f>IF(F60="",0,(E60+F60)/2)</f>
        <v>0</v>
      </c>
      <c r="H60" s="92"/>
      <c r="I60" s="91"/>
      <c r="J60" s="97"/>
      <c r="K60" s="87"/>
      <c r="L60" s="87"/>
      <c r="M60" s="87"/>
      <c r="N60" s="87"/>
    </row>
    <row r="61" spans="1:14">
      <c r="A61" s="97">
        <f>+A60+1</f>
        <v>31</v>
      </c>
      <c r="B61" s="89"/>
      <c r="C61" s="86" t="s">
        <v>1205</v>
      </c>
      <c r="D61" s="88"/>
      <c r="E61" s="1076">
        <f>+E59+E60</f>
        <v>0</v>
      </c>
      <c r="F61" s="1076">
        <f>+F59+F60</f>
        <v>0</v>
      </c>
      <c r="G61" s="1101">
        <f>IF(F61="",0,(E61+F61)/2)</f>
        <v>0</v>
      </c>
      <c r="H61" s="92"/>
      <c r="I61" s="91"/>
      <c r="J61" s="97"/>
      <c r="K61" s="87"/>
      <c r="L61" s="87"/>
      <c r="M61" s="87"/>
      <c r="N61" s="87"/>
    </row>
    <row r="62" spans="1:14" ht="12.75" customHeight="1">
      <c r="B62" s="91"/>
      <c r="C62" s="86"/>
      <c r="D62" s="89"/>
      <c r="E62" s="857"/>
      <c r="F62" s="857"/>
      <c r="G62" s="98"/>
      <c r="H62" s="109"/>
      <c r="I62" s="99"/>
      <c r="J62" s="89"/>
      <c r="K62" s="87"/>
      <c r="L62" s="87"/>
      <c r="M62" s="87"/>
      <c r="N62" s="87"/>
    </row>
    <row r="63" spans="1:14" ht="12.75" customHeight="1">
      <c r="A63" s="97">
        <f>+A61+1</f>
        <v>32</v>
      </c>
      <c r="B63" s="91"/>
      <c r="C63" s="111" t="s">
        <v>391</v>
      </c>
      <c r="D63" s="88" t="s">
        <v>213</v>
      </c>
      <c r="E63" s="869">
        <f>+'[4]Inputs 2019'!H111</f>
        <v>774288201.26415408</v>
      </c>
      <c r="F63" s="869">
        <f>+'[4]Inputs 2019'!I111</f>
        <v>746936124.14503205</v>
      </c>
      <c r="G63" s="1101">
        <f>IF(F63="",0,(E63+F63)/2)</f>
        <v>760612162.70459306</v>
      </c>
      <c r="H63" s="109"/>
      <c r="I63" s="99"/>
      <c r="J63" s="89"/>
      <c r="K63" s="87"/>
      <c r="L63" s="87"/>
      <c r="M63" s="87"/>
      <c r="N63" s="87"/>
    </row>
    <row r="64" spans="1:14" ht="12.75" customHeight="1">
      <c r="B64" s="91"/>
      <c r="C64" s="86"/>
      <c r="D64" s="88"/>
      <c r="E64" s="857"/>
      <c r="F64" s="857"/>
      <c r="G64" s="98"/>
      <c r="H64" s="109"/>
      <c r="I64" s="99"/>
      <c r="J64" s="89"/>
      <c r="K64" s="87"/>
      <c r="L64" s="87"/>
      <c r="M64" s="87"/>
      <c r="N64" s="87"/>
    </row>
    <row r="65" spans="1:14" ht="12.75" customHeight="1">
      <c r="A65" s="97">
        <f>+A63+1</f>
        <v>33</v>
      </c>
      <c r="B65" s="91"/>
      <c r="C65" s="86" t="str">
        <f>"Distribution ARO Accumulated Depreciation (included in total on line "&amp;A63&amp;")"</f>
        <v>Distribution ARO Accumulated Depreciation (included in total on line 32)</v>
      </c>
      <c r="D65" s="88" t="s">
        <v>1084</v>
      </c>
      <c r="E65" s="869">
        <v>0</v>
      </c>
      <c r="F65" s="869">
        <v>0</v>
      </c>
      <c r="G65" s="1101">
        <f>IF(F65="",0,(E65+F65)/2)</f>
        <v>0</v>
      </c>
      <c r="H65" s="98"/>
      <c r="I65" s="91"/>
      <c r="J65" s="97"/>
      <c r="K65" s="87"/>
      <c r="L65" s="87"/>
      <c r="M65" s="87"/>
      <c r="N65" s="87"/>
    </row>
    <row r="66" spans="1:14" ht="12.75" customHeight="1">
      <c r="B66" s="91"/>
      <c r="C66" s="86"/>
      <c r="D66" s="89"/>
      <c r="E66" s="857"/>
      <c r="F66" s="857"/>
      <c r="G66" s="98"/>
      <c r="H66" s="89"/>
      <c r="I66" s="97"/>
      <c r="J66" s="97"/>
      <c r="K66" s="87"/>
      <c r="L66" s="87"/>
      <c r="M66" s="87"/>
      <c r="N66" s="87"/>
    </row>
    <row r="67" spans="1:14" ht="12.75" customHeight="1">
      <c r="A67" s="97">
        <f>+A65+1</f>
        <v>34</v>
      </c>
      <c r="B67" s="91"/>
      <c r="C67" s="111" t="s">
        <v>21</v>
      </c>
      <c r="D67" s="88" t="s">
        <v>154</v>
      </c>
      <c r="E67" s="869">
        <f>+'[4]Inputs 2019'!H115</f>
        <v>163560189.259835</v>
      </c>
      <c r="F67" s="869">
        <f>+'[4]Inputs 2019'!I115</f>
        <v>161960761.71344</v>
      </c>
      <c r="G67" s="1101">
        <f>IF(F67="",0,(E67+F67)/2)</f>
        <v>162760475.4866375</v>
      </c>
      <c r="H67" s="98"/>
      <c r="I67" s="100"/>
      <c r="J67" s="97"/>
      <c r="K67" s="87"/>
      <c r="L67" s="87"/>
      <c r="M67" s="87"/>
      <c r="N67" s="87"/>
    </row>
    <row r="68" spans="1:14" ht="12.75" customHeight="1">
      <c r="B68" s="91"/>
      <c r="C68" s="86"/>
      <c r="D68" s="88"/>
      <c r="E68" s="857"/>
      <c r="F68" s="857"/>
      <c r="G68" s="98"/>
      <c r="H68" s="108"/>
      <c r="I68" s="100"/>
      <c r="J68" s="97"/>
      <c r="K68" s="87"/>
      <c r="L68" s="87"/>
      <c r="M68" s="87"/>
      <c r="N68" s="87"/>
    </row>
    <row r="69" spans="1:14" ht="12.75" customHeight="1">
      <c r="A69" s="97">
        <f>+A67+1</f>
        <v>35</v>
      </c>
      <c r="B69" s="91"/>
      <c r="C69" s="86" t="str">
        <f>"General ARO Accumulated Depreciation (included in total on line "&amp;A67&amp;")"</f>
        <v>General ARO Accumulated Depreciation (included in total on line 34)</v>
      </c>
      <c r="D69" s="88" t="s">
        <v>1084</v>
      </c>
      <c r="E69" s="869">
        <f>+'[4]Inputs 2019'!H117</f>
        <v>546718.79</v>
      </c>
      <c r="F69" s="869">
        <f>+'[4]Inputs 2019'!I117</f>
        <v>546718.79</v>
      </c>
      <c r="G69" s="1101">
        <f>IF(F69="",0,(E69+F69)/2)</f>
        <v>546718.79</v>
      </c>
      <c r="H69" s="109"/>
      <c r="I69" s="99"/>
      <c r="J69" s="97"/>
      <c r="K69" s="87"/>
      <c r="L69" s="87"/>
      <c r="M69" s="87"/>
      <c r="N69" s="87"/>
    </row>
    <row r="70" spans="1:14" ht="12.75" customHeight="1">
      <c r="B70" s="91"/>
      <c r="C70" s="86"/>
      <c r="D70" s="89"/>
      <c r="E70" s="857"/>
      <c r="F70" s="857"/>
      <c r="G70" s="98"/>
      <c r="H70" s="109"/>
      <c r="I70" s="99"/>
      <c r="J70" s="97"/>
      <c r="K70" s="87"/>
      <c r="L70" s="87"/>
      <c r="M70" s="87"/>
      <c r="N70" s="87"/>
    </row>
    <row r="71" spans="1:14" ht="12.75" customHeight="1">
      <c r="A71" s="97">
        <f>+A69+1</f>
        <v>36</v>
      </c>
      <c r="B71" s="91"/>
      <c r="C71" s="111" t="s">
        <v>23</v>
      </c>
      <c r="D71" s="88" t="s">
        <v>214</v>
      </c>
      <c r="E71" s="869">
        <f>+'[4]Inputs 2019'!H119</f>
        <v>63490901.238920502</v>
      </c>
      <c r="F71" s="869">
        <f>+'[4]Inputs 2019'!I119</f>
        <v>51165785.917670801</v>
      </c>
      <c r="G71" s="1101">
        <f>IF(F71="",0,(E71+F71)/2)</f>
        <v>57328343.578295648</v>
      </c>
      <c r="H71" s="109"/>
      <c r="I71" s="99"/>
      <c r="J71" s="97"/>
      <c r="K71" s="87"/>
      <c r="L71" s="87"/>
      <c r="M71" s="87"/>
      <c r="N71" s="87"/>
    </row>
    <row r="72" spans="1:14" ht="12.75" customHeight="1">
      <c r="B72" s="91"/>
      <c r="C72" s="86" t="s">
        <v>291</v>
      </c>
      <c r="D72" s="88"/>
      <c r="E72" s="85"/>
      <c r="F72" s="98"/>
      <c r="G72" s="98"/>
      <c r="H72" s="109"/>
      <c r="I72" s="99"/>
      <c r="J72" s="97"/>
      <c r="K72" s="87"/>
      <c r="L72" s="87"/>
      <c r="M72" s="87"/>
      <c r="N72" s="87"/>
    </row>
    <row r="73" spans="1:14" ht="12.75" customHeight="1">
      <c r="A73" s="97">
        <f>+A71+1</f>
        <v>37</v>
      </c>
      <c r="B73" s="91"/>
      <c r="C73" s="86" t="s">
        <v>24</v>
      </c>
      <c r="D73" s="88" t="str">
        <f>"(Sum of Lines: "&amp;A49&amp;", "&amp;A57&amp;", "&amp;A63&amp;", "&amp;A67&amp;", "&amp;A71&amp;") FF1, page 200, ln 22, Col (b)"</f>
        <v>(Sum of Lines: 22, 28, 32, 34, 36) FF1, page 200, ln 22, Col (b)</v>
      </c>
      <c r="E73" s="367">
        <f>+E55+E49+E63+E67+E71</f>
        <v>3234603064.2392097</v>
      </c>
      <c r="F73" s="367">
        <f>+F55+F49+F63+F67+F71</f>
        <v>3067119720.6936398</v>
      </c>
      <c r="G73" s="367">
        <f>+G55+G49+G63+G67+G71</f>
        <v>3150861392.4664249</v>
      </c>
      <c r="H73" s="268"/>
      <c r="I73" s="97"/>
      <c r="J73" s="89"/>
      <c r="K73" s="87"/>
      <c r="L73" s="87"/>
      <c r="M73" s="87"/>
      <c r="N73" s="87"/>
    </row>
    <row r="74" spans="1:14" ht="12.75" customHeight="1">
      <c r="B74" s="91"/>
      <c r="C74" s="86"/>
      <c r="D74" s="89"/>
      <c r="E74" s="189"/>
      <c r="F74" s="85"/>
      <c r="G74" s="368"/>
      <c r="H74" s="98"/>
      <c r="I74" s="100"/>
      <c r="K74" s="87"/>
      <c r="L74" s="87"/>
      <c r="M74" s="87"/>
      <c r="N74" s="87"/>
    </row>
    <row r="75" spans="1:14" ht="12.75" customHeight="1">
      <c r="A75" s="97">
        <f>+A73+1</f>
        <v>38</v>
      </c>
      <c r="B75" s="91"/>
      <c r="C75" s="86" t="str">
        <f>"Total ARO Balance (included in total on line "&amp;A73&amp;")"</f>
        <v>Total ARO Balance (included in total on line 37)</v>
      </c>
      <c r="D75" s="88" t="str">
        <f>"(Sum of Lines: "&amp;A53&amp;", "&amp;A61&amp;", "&amp;A65&amp;", "&amp;A69&amp;")"</f>
        <v>(Sum of Lines: 25, 31, 33, 35)</v>
      </c>
      <c r="E75" s="367">
        <f>+E61+E53+E65+E69</f>
        <v>13276332.328199901</v>
      </c>
      <c r="F75" s="367">
        <f>+F61+F53+F65+F69</f>
        <v>11922630.877799898</v>
      </c>
      <c r="G75" s="367">
        <f>+G61+G53+G65+G69</f>
        <v>12599481.6029999</v>
      </c>
      <c r="H75" s="268"/>
      <c r="I75" s="100"/>
      <c r="J75" s="89"/>
      <c r="K75" s="89"/>
      <c r="L75" s="89"/>
      <c r="M75" s="89"/>
      <c r="N75" s="89"/>
    </row>
    <row r="76" spans="1:14" ht="12.75" customHeight="1">
      <c r="B76" s="91"/>
      <c r="C76" s="86"/>
      <c r="D76" s="88"/>
      <c r="E76" s="368"/>
      <c r="F76" s="368"/>
      <c r="G76" s="368" t="str">
        <f>IF((E75+F75)/2=G75,"","Error")</f>
        <v/>
      </c>
      <c r="H76" s="108"/>
      <c r="I76" s="100"/>
      <c r="J76" s="89"/>
      <c r="K76" s="89"/>
      <c r="L76" s="89"/>
      <c r="M76" s="89"/>
      <c r="N76" s="89"/>
    </row>
    <row r="77" spans="1:14" ht="12.75" customHeight="1">
      <c r="A77" s="110" t="s">
        <v>25</v>
      </c>
      <c r="B77" s="91"/>
      <c r="C77" s="86"/>
      <c r="D77" s="88"/>
      <c r="E77" s="268"/>
      <c r="F77" s="268"/>
      <c r="G77" s="98"/>
      <c r="H77" s="108"/>
      <c r="I77" s="100"/>
      <c r="J77" s="89"/>
      <c r="K77" s="89"/>
      <c r="L77" s="89"/>
      <c r="M77" s="89"/>
      <c r="N77" s="89"/>
    </row>
    <row r="78" spans="1:14" ht="4.5" customHeight="1">
      <c r="B78" s="91"/>
      <c r="C78" s="86"/>
      <c r="D78" s="88"/>
      <c r="E78" s="268"/>
      <c r="F78" s="268"/>
      <c r="G78" s="98"/>
      <c r="H78" s="108"/>
      <c r="I78" s="100"/>
      <c r="J78" s="89"/>
      <c r="K78" s="89"/>
      <c r="L78" s="89"/>
      <c r="M78" s="89"/>
      <c r="N78" s="89"/>
    </row>
    <row r="79" spans="1:14" ht="12.75" customHeight="1">
      <c r="A79" s="97">
        <f>+A75+1</f>
        <v>39</v>
      </c>
      <c r="B79" s="91"/>
      <c r="C79" s="86" t="str">
        <f>"GSU Investment Amount  (included in total on line "&amp;A23&amp;")"</f>
        <v>GSU Investment Amount  (included in total on line 7)</v>
      </c>
      <c r="D79" s="88" t="s">
        <v>1084</v>
      </c>
      <c r="E79" s="869">
        <f>+'[4]Inputs 2019'!H127</f>
        <v>37745577</v>
      </c>
      <c r="F79" s="869">
        <f>+'[4]Inputs 2019'!I127</f>
        <v>37745577</v>
      </c>
      <c r="G79" s="1101">
        <f>IF(F79="",0,(E79+F79)/2)</f>
        <v>37745577</v>
      </c>
      <c r="H79" s="108"/>
      <c r="I79" s="100"/>
      <c r="J79" s="89"/>
      <c r="K79" s="89"/>
      <c r="L79" s="89"/>
      <c r="M79" s="89"/>
      <c r="N79" s="89"/>
    </row>
    <row r="80" spans="1:14" ht="12.75" customHeight="1">
      <c r="A80" s="97">
        <f>+A79+1</f>
        <v>40</v>
      </c>
      <c r="B80" s="91"/>
      <c r="C80" s="86" t="str">
        <f>"GSU Accumulated Depreciation (Included in total on line "&amp;A55&amp;")"</f>
        <v>GSU Accumulated Depreciation (Included in total on line 26)</v>
      </c>
      <c r="D80" s="88" t="s">
        <v>1084</v>
      </c>
      <c r="E80" s="869">
        <f>+'[4]Inputs 2019'!H128</f>
        <v>19280299.988277499</v>
      </c>
      <c r="F80" s="869">
        <f>+'[4]Inputs 2019'!I128</f>
        <v>18657875.423547499</v>
      </c>
      <c r="G80" s="1101">
        <f>IF(F80="",0,(E80+F80)/2)</f>
        <v>18969087.705912501</v>
      </c>
      <c r="H80" s="108"/>
      <c r="I80" s="100"/>
      <c r="J80" s="89"/>
      <c r="K80" s="89"/>
      <c r="L80" s="89"/>
      <c r="M80" s="89"/>
      <c r="N80" s="89"/>
    </row>
    <row r="81" spans="1:14" ht="12.75" customHeight="1">
      <c r="A81" s="97">
        <f>+A80+1</f>
        <v>41</v>
      </c>
      <c r="B81" s="91"/>
      <c r="C81" s="86" t="s">
        <v>26</v>
      </c>
      <c r="D81" s="88" t="str">
        <f>"(Line "&amp;A79&amp;" - Line  "&amp;A80&amp;")"</f>
        <v>(Line 39 - Line  40)</v>
      </c>
      <c r="E81" s="367">
        <f>+E79-E80</f>
        <v>18465277.011722501</v>
      </c>
      <c r="F81" s="367">
        <f>+F79-F80</f>
        <v>19087701.576452501</v>
      </c>
      <c r="G81" s="367">
        <f>+G79-G80</f>
        <v>18776489.294087499</v>
      </c>
      <c r="H81" s="268"/>
      <c r="I81" s="100"/>
      <c r="J81" s="89"/>
      <c r="K81" s="89"/>
      <c r="L81" s="89"/>
      <c r="M81" s="89"/>
      <c r="N81" s="89"/>
    </row>
    <row r="82" spans="1:14" ht="12.75" customHeight="1">
      <c r="B82" s="91"/>
      <c r="C82" s="86"/>
      <c r="D82" s="88"/>
      <c r="E82" s="440"/>
      <c r="F82" s="440"/>
      <c r="G82" s="440"/>
      <c r="H82" s="108"/>
      <c r="I82" s="100"/>
      <c r="J82" s="89"/>
      <c r="K82" s="89"/>
      <c r="L82" s="89"/>
      <c r="M82" s="89"/>
      <c r="N82" s="89"/>
    </row>
    <row r="83" spans="1:14" ht="12.75" customHeight="1">
      <c r="A83" s="317" t="s">
        <v>2</v>
      </c>
      <c r="B83" s="91"/>
      <c r="C83" s="86"/>
      <c r="D83" s="88"/>
      <c r="E83" s="268"/>
      <c r="F83" s="268"/>
      <c r="G83" s="98"/>
      <c r="H83" s="108"/>
      <c r="I83" s="100"/>
      <c r="J83" s="89"/>
      <c r="K83" s="89"/>
      <c r="L83" s="89"/>
      <c r="M83" s="89"/>
      <c r="N83" s="89"/>
    </row>
    <row r="84" spans="1:14" ht="4.5" customHeight="1">
      <c r="B84" s="91"/>
      <c r="C84" s="86"/>
      <c r="D84" s="88"/>
      <c r="E84" s="268"/>
      <c r="F84" s="268"/>
      <c r="G84" s="98"/>
      <c r="H84" s="108"/>
      <c r="I84" s="100"/>
      <c r="J84" s="89"/>
      <c r="K84" s="89"/>
      <c r="L84" s="89"/>
      <c r="M84" s="89"/>
      <c r="N84" s="89"/>
    </row>
    <row r="85" spans="1:14" ht="12.75" customHeight="1">
      <c r="A85" s="97">
        <f>+A81+1</f>
        <v>42</v>
      </c>
      <c r="B85" s="91"/>
      <c r="C85" s="316" t="s">
        <v>1</v>
      </c>
      <c r="D85" s="88" t="s">
        <v>1084</v>
      </c>
      <c r="E85" s="869">
        <f>+'[4]Inputs 2019'!H134</f>
        <v>51926368</v>
      </c>
      <c r="F85" s="869">
        <f>+'[4]Inputs 2019'!I134</f>
        <v>51926368</v>
      </c>
      <c r="G85" s="1101">
        <f>IF(F85="",0,(E85+F85)/2)</f>
        <v>51926368</v>
      </c>
      <c r="H85" s="108"/>
      <c r="I85" s="100"/>
      <c r="J85" s="89"/>
      <c r="K85" s="89"/>
      <c r="L85" s="89"/>
      <c r="M85" s="89"/>
      <c r="N85" s="89"/>
    </row>
    <row r="86" spans="1:14" ht="12.75" customHeight="1">
      <c r="A86" s="97">
        <f>+A85+1</f>
        <v>43</v>
      </c>
      <c r="B86" s="91"/>
      <c r="C86" s="316" t="s">
        <v>402</v>
      </c>
      <c r="D86" s="88" t="s">
        <v>1084</v>
      </c>
      <c r="E86" s="869">
        <f>+'[4]Inputs 2019'!H135</f>
        <v>21267930</v>
      </c>
      <c r="F86" s="869">
        <f>+'[4]Inputs 2019'!I135</f>
        <v>21267930</v>
      </c>
      <c r="G86" s="1101">
        <f>IF(F86="",0,(E86+F86)/2)</f>
        <v>21267930</v>
      </c>
      <c r="H86" s="108"/>
      <c r="I86" s="100"/>
      <c r="J86" s="89"/>
      <c r="K86" s="89"/>
      <c r="L86" s="89"/>
      <c r="M86" s="89"/>
      <c r="N86" s="89"/>
    </row>
    <row r="87" spans="1:14" ht="12.75" customHeight="1">
      <c r="A87" s="97">
        <f>+A86+1</f>
        <v>44</v>
      </c>
      <c r="B87" s="91"/>
      <c r="C87" s="316" t="s">
        <v>403</v>
      </c>
      <c r="D87" s="88" t="str">
        <f>"(Line "&amp;A85&amp;" - Line  "&amp;A86&amp;")"</f>
        <v>(Line 42 - Line  43)</v>
      </c>
      <c r="E87" s="367">
        <f>+E85-E86</f>
        <v>30658438</v>
      </c>
      <c r="F87" s="367">
        <f>+F85-F86</f>
        <v>30658438</v>
      </c>
      <c r="G87" s="367">
        <f>+G85-G86</f>
        <v>30658438</v>
      </c>
      <c r="H87" s="268"/>
      <c r="I87" s="100"/>
      <c r="J87" s="89"/>
      <c r="K87" s="89"/>
      <c r="L87" s="89"/>
      <c r="M87" s="89"/>
      <c r="N87" s="89"/>
    </row>
    <row r="88" spans="1:14" ht="12.75" customHeight="1">
      <c r="B88" s="91"/>
      <c r="C88" s="86"/>
      <c r="D88" s="88"/>
      <c r="E88" s="440"/>
      <c r="F88" s="440"/>
      <c r="G88" s="440"/>
      <c r="H88" s="108"/>
      <c r="I88" s="100"/>
      <c r="J88" s="89"/>
      <c r="K88" s="89"/>
      <c r="L88" s="89"/>
      <c r="M88" s="89"/>
      <c r="N88" s="89"/>
    </row>
    <row r="89" spans="1:14" ht="12.75" customHeight="1">
      <c r="A89" s="318" t="s">
        <v>166</v>
      </c>
      <c r="B89" s="91"/>
      <c r="C89" s="86"/>
      <c r="D89" s="88"/>
      <c r="E89" s="440"/>
      <c r="F89" s="440"/>
      <c r="G89" s="440"/>
      <c r="H89" s="108"/>
      <c r="I89" s="100"/>
      <c r="J89" s="89"/>
      <c r="K89" s="89"/>
      <c r="L89" s="89"/>
      <c r="M89" s="89"/>
      <c r="N89" s="89"/>
    </row>
    <row r="90" spans="1:14" ht="3.75" customHeight="1">
      <c r="A90" s="90"/>
      <c r="B90" s="91"/>
      <c r="C90" s="86"/>
      <c r="D90" s="88"/>
      <c r="E90" s="440"/>
      <c r="F90" s="440"/>
      <c r="G90" s="440"/>
      <c r="H90" s="108"/>
      <c r="I90" s="100"/>
      <c r="J90" s="89"/>
      <c r="K90" s="89"/>
      <c r="L90" s="89"/>
      <c r="M90" s="89"/>
      <c r="N90" s="89"/>
    </row>
    <row r="91" spans="1:14" ht="12.75" customHeight="1">
      <c r="A91" s="97">
        <f>+A87+1</f>
        <v>45</v>
      </c>
      <c r="B91" s="91"/>
      <c r="C91" s="86" t="s">
        <v>390</v>
      </c>
      <c r="D91" s="88" t="str">
        <f>"(Line "&amp;A57&amp;" Above)"</f>
        <v>(Line 28 Above)</v>
      </c>
      <c r="E91" s="440">
        <f>+E57</f>
        <v>573248481.57053745</v>
      </c>
      <c r="F91" s="440">
        <f>+F57</f>
        <v>537936040.41589451</v>
      </c>
      <c r="G91" s="1101">
        <f>IF(F91=0,0,(E91+F91)/2)</f>
        <v>555592260.99321604</v>
      </c>
      <c r="H91" s="108"/>
      <c r="I91" s="100"/>
      <c r="J91" s="89"/>
      <c r="K91" s="89"/>
      <c r="L91" s="89"/>
      <c r="M91" s="89"/>
      <c r="N91" s="89"/>
    </row>
    <row r="92" spans="1:14" ht="12.75" customHeight="1">
      <c r="B92" s="91"/>
      <c r="C92" s="86"/>
      <c r="D92" s="88"/>
      <c r="E92" s="440"/>
      <c r="F92" s="440"/>
      <c r="G92" s="1101"/>
      <c r="H92" s="108"/>
      <c r="I92" s="100"/>
      <c r="J92" s="89"/>
      <c r="K92" s="89"/>
      <c r="L92" s="89"/>
      <c r="M92" s="89"/>
      <c r="N92" s="89"/>
    </row>
    <row r="93" spans="1:14" ht="12.75" customHeight="1">
      <c r="A93" s="97">
        <f>+A91+1</f>
        <v>46</v>
      </c>
      <c r="B93" s="91"/>
      <c r="C93" s="86" t="s">
        <v>460</v>
      </c>
      <c r="D93" s="88" t="str">
        <f>"(Line "&amp;A80&amp;" + Line "&amp;A86&amp;" Above)"</f>
        <v>(Line 40 + Line 43 Above)</v>
      </c>
      <c r="E93" s="268">
        <f>+E80+E86</f>
        <v>40548229.988277495</v>
      </c>
      <c r="F93" s="268">
        <f>+F80+F86</f>
        <v>39925805.423547499</v>
      </c>
      <c r="G93" s="1101">
        <f>IF(F93=0,0,(E93+F93)/2)</f>
        <v>40237017.705912501</v>
      </c>
      <c r="H93" s="108"/>
      <c r="I93" s="100"/>
      <c r="J93" s="89"/>
      <c r="K93" s="89"/>
      <c r="L93" s="89"/>
      <c r="M93" s="89"/>
      <c r="N93" s="89"/>
    </row>
    <row r="94" spans="1:14" ht="12.75" customHeight="1">
      <c r="B94" s="91"/>
      <c r="C94" s="86"/>
      <c r="D94" s="88"/>
      <c r="E94" s="268"/>
      <c r="F94" s="268"/>
      <c r="G94" s="98"/>
      <c r="H94" s="108"/>
      <c r="I94" s="100"/>
      <c r="J94" s="89"/>
      <c r="K94" s="89"/>
      <c r="L94" s="89"/>
      <c r="M94" s="89"/>
      <c r="N94" s="89"/>
    </row>
    <row r="95" spans="1:14" ht="25.5">
      <c r="A95" s="319">
        <f>+A93+1</f>
        <v>47</v>
      </c>
      <c r="B95" s="320"/>
      <c r="C95" s="321" t="s">
        <v>165</v>
      </c>
      <c r="D95" s="322" t="str">
        <f>"(Line "&amp;A91&amp;" - Line  "&amp;A93&amp;")"</f>
        <v>(Line 45 - Line  46)</v>
      </c>
      <c r="E95" s="462">
        <f>+E91-E93</f>
        <v>532700251.58225995</v>
      </c>
      <c r="F95" s="462">
        <f>+F91-F93</f>
        <v>498010234.992347</v>
      </c>
      <c r="G95" s="462">
        <f>+G91-G93</f>
        <v>515355243.28730357</v>
      </c>
      <c r="H95" s="268"/>
      <c r="I95" s="100"/>
      <c r="J95" s="89"/>
      <c r="K95" s="89"/>
      <c r="L95" s="89"/>
      <c r="M95" s="89"/>
      <c r="N95" s="89"/>
    </row>
    <row r="96" spans="1:14" ht="12.75" customHeight="1">
      <c r="B96" s="91"/>
      <c r="C96" s="86"/>
      <c r="D96" s="88"/>
      <c r="E96" s="268"/>
      <c r="F96" s="268"/>
      <c r="G96" s="98"/>
      <c r="H96" s="108"/>
      <c r="I96" s="100"/>
      <c r="J96" s="89"/>
      <c r="K96" s="89"/>
      <c r="L96" s="89"/>
      <c r="M96" s="89"/>
      <c r="N96" s="89"/>
    </row>
    <row r="97" spans="1:14" ht="12.75" customHeight="1">
      <c r="A97" s="110" t="s">
        <v>241</v>
      </c>
      <c r="B97" s="91"/>
      <c r="C97" s="85"/>
      <c r="D97" s="89"/>
      <c r="E97" s="85"/>
      <c r="F97" s="85"/>
      <c r="G97" s="98"/>
      <c r="H97" s="108"/>
      <c r="I97" s="100"/>
      <c r="J97" s="89"/>
      <c r="K97" s="89"/>
      <c r="L97" s="89"/>
      <c r="M97" s="89"/>
      <c r="N97" s="89"/>
    </row>
    <row r="98" spans="1:14" ht="12.75" customHeight="1">
      <c r="B98" s="84"/>
      <c r="D98" s="89"/>
      <c r="E98" s="89"/>
      <c r="F98" s="89"/>
      <c r="G98" s="98"/>
      <c r="H98" s="108"/>
      <c r="I98" s="100"/>
      <c r="J98" s="89"/>
      <c r="K98" s="89"/>
      <c r="L98" s="89"/>
      <c r="M98" s="89"/>
      <c r="N98" s="89"/>
    </row>
    <row r="99" spans="1:14" ht="12.75" customHeight="1">
      <c r="A99" s="97">
        <f>+A95+1</f>
        <v>48</v>
      </c>
      <c r="C99" s="110" t="s">
        <v>241</v>
      </c>
      <c r="D99" s="88" t="s">
        <v>28</v>
      </c>
      <c r="E99" s="869">
        <f>+'[4]Inputs 2019'!$H$148</f>
        <v>1066805</v>
      </c>
      <c r="F99" s="869">
        <f>+'[4]Inputs 2019'!$I$148</f>
        <v>1066805</v>
      </c>
      <c r="G99" s="1101">
        <f>IF(F99="",0,(E99+F99)/2)</f>
        <v>1066805</v>
      </c>
      <c r="H99" s="268"/>
      <c r="I99" s="100"/>
      <c r="J99" s="89"/>
      <c r="K99" s="89"/>
      <c r="L99" s="89"/>
      <c r="M99" s="89"/>
      <c r="N99" s="89"/>
    </row>
    <row r="100" spans="1:14" ht="12.75" customHeight="1">
      <c r="A100" s="111"/>
      <c r="G100" s="98"/>
      <c r="H100" s="108"/>
      <c r="I100" s="100"/>
      <c r="J100" s="89"/>
      <c r="K100" s="89"/>
      <c r="L100" s="89"/>
      <c r="M100" s="89"/>
      <c r="N100" s="89"/>
    </row>
    <row r="101" spans="1:14" ht="12.75" customHeight="1">
      <c r="A101" s="97">
        <f>+A99+1</f>
        <v>49</v>
      </c>
      <c r="B101" s="84"/>
      <c r="C101" s="110" t="str">
        <f>"Transmission Plant Held For Future Use (Included in total on line "&amp;A99&amp;")"</f>
        <v>Transmission Plant Held For Future Use (Included in total on line 48)</v>
      </c>
      <c r="D101" s="88" t="s">
        <v>1084</v>
      </c>
      <c r="E101" s="869">
        <v>0</v>
      </c>
      <c r="F101" s="869">
        <v>0</v>
      </c>
      <c r="G101" s="1101">
        <f>IF(F101="",0,(E101+F101)/2)</f>
        <v>0</v>
      </c>
      <c r="H101" s="108"/>
      <c r="I101" s="100"/>
      <c r="J101" s="89"/>
      <c r="K101" s="89"/>
      <c r="L101" s="89"/>
      <c r="M101" s="89"/>
      <c r="N101" s="89"/>
    </row>
    <row r="102" spans="1:14" ht="12.75" customHeight="1">
      <c r="A102" s="38"/>
      <c r="B102" s="38"/>
      <c r="C102" s="38"/>
      <c r="D102" s="38"/>
      <c r="E102" s="38"/>
      <c r="F102" s="38"/>
      <c r="G102" s="38"/>
      <c r="H102" s="38"/>
      <c r="I102" s="38"/>
      <c r="J102" s="38"/>
      <c r="K102" s="38"/>
      <c r="L102" s="89"/>
      <c r="M102" s="89"/>
      <c r="N102" s="89"/>
    </row>
    <row r="103" spans="1:14" ht="12.75" customHeight="1">
      <c r="A103" s="97" t="s">
        <v>1082</v>
      </c>
      <c r="B103" s="93" t="s">
        <v>1083</v>
      </c>
      <c r="D103" s="38"/>
      <c r="E103" s="38"/>
      <c r="F103" s="38"/>
      <c r="G103" s="38"/>
      <c r="H103" s="38"/>
      <c r="I103" s="38"/>
      <c r="J103" s="38"/>
      <c r="K103" s="38"/>
      <c r="L103" s="89"/>
      <c r="M103" s="89"/>
      <c r="N103" s="89"/>
    </row>
    <row r="105" spans="1:14" s="1104" customFormat="1">
      <c r="A105" s="110" t="s">
        <v>1107</v>
      </c>
      <c r="B105" s="1077"/>
      <c r="C105" s="1077"/>
      <c r="D105" s="1077"/>
      <c r="E105" s="1102"/>
      <c r="F105" s="1102"/>
      <c r="G105" s="1102"/>
      <c r="H105" s="1102"/>
      <c r="I105" s="1102"/>
      <c r="J105" s="1102"/>
      <c r="K105" s="1102"/>
      <c r="L105" s="1103"/>
      <c r="M105" s="1103"/>
      <c r="N105" s="1103"/>
    </row>
    <row r="106" spans="1:14" s="1104" customFormat="1">
      <c r="A106" s="93"/>
      <c r="B106" s="93"/>
      <c r="C106" s="93" t="s">
        <v>1110</v>
      </c>
      <c r="D106" s="93"/>
      <c r="I106" s="1102"/>
      <c r="K106" s="1102"/>
      <c r="L106" s="1102"/>
      <c r="M106" s="1102"/>
      <c r="N106" s="1102"/>
    </row>
    <row r="107" spans="1:14" s="1104" customFormat="1">
      <c r="A107" s="97">
        <f>+A101+1</f>
        <v>50</v>
      </c>
      <c r="B107" s="93"/>
      <c r="C107" s="57"/>
      <c r="D107" s="57"/>
      <c r="E107" s="859"/>
      <c r="F107" s="859"/>
      <c r="G107" s="1105">
        <v>0</v>
      </c>
      <c r="I107" s="1102"/>
      <c r="K107" s="1102"/>
      <c r="L107" s="1102"/>
      <c r="M107" s="1102"/>
      <c r="N107" s="1102"/>
    </row>
    <row r="108" spans="1:14" s="1104" customFormat="1">
      <c r="A108" s="97">
        <f>+A107+1</f>
        <v>51</v>
      </c>
      <c r="B108" s="93"/>
      <c r="C108" s="57"/>
      <c r="D108" s="57"/>
      <c r="E108" s="859"/>
      <c r="F108" s="859"/>
      <c r="G108" s="1105">
        <v>0</v>
      </c>
      <c r="I108" s="1102"/>
      <c r="K108" s="1102"/>
      <c r="L108" s="1102"/>
      <c r="M108" s="1102"/>
      <c r="N108" s="1102"/>
    </row>
    <row r="109" spans="1:14" s="1104" customFormat="1">
      <c r="A109" s="97">
        <f>+A108+1</f>
        <v>52</v>
      </c>
      <c r="B109" s="93"/>
      <c r="C109" s="57"/>
      <c r="D109" s="57"/>
      <c r="E109" s="859"/>
      <c r="F109" s="859"/>
      <c r="G109" s="1105">
        <v>0</v>
      </c>
      <c r="I109" s="1102"/>
      <c r="K109" s="1102"/>
      <c r="L109" s="1102"/>
      <c r="M109" s="1102"/>
      <c r="N109" s="1102"/>
    </row>
    <row r="110" spans="1:14" s="1104" customFormat="1">
      <c r="A110" s="97">
        <f>+A109+1</f>
        <v>53</v>
      </c>
      <c r="B110" s="93"/>
      <c r="C110" s="57"/>
      <c r="D110" s="57"/>
      <c r="E110" s="859"/>
      <c r="F110" s="859"/>
      <c r="G110" s="1105">
        <v>0</v>
      </c>
      <c r="I110" s="1102"/>
      <c r="K110" s="1102"/>
      <c r="L110" s="1102"/>
      <c r="M110" s="1102"/>
      <c r="N110" s="1102"/>
    </row>
    <row r="111" spans="1:14" s="1104" customFormat="1">
      <c r="A111" s="97">
        <f>+A110+1</f>
        <v>54</v>
      </c>
      <c r="B111" s="93"/>
      <c r="C111" s="57"/>
      <c r="D111" s="57"/>
      <c r="E111" s="859"/>
      <c r="F111" s="859"/>
      <c r="G111" s="1105">
        <v>0</v>
      </c>
      <c r="I111" s="1102"/>
      <c r="K111" s="1102"/>
      <c r="L111" s="1102"/>
      <c r="M111" s="1102"/>
      <c r="N111" s="1102"/>
    </row>
    <row r="112" spans="1:14" s="1104" customFormat="1">
      <c r="A112" s="97">
        <f>+A111+1</f>
        <v>55</v>
      </c>
      <c r="B112" s="93"/>
      <c r="C112" s="910" t="s">
        <v>1108</v>
      </c>
      <c r="D112" s="910"/>
      <c r="E112" s="1106">
        <v>0</v>
      </c>
      <c r="F112" s="1106">
        <v>0</v>
      </c>
      <c r="G112" s="1106">
        <v>0</v>
      </c>
      <c r="I112" s="1102"/>
      <c r="K112" s="1102"/>
      <c r="L112" s="1102"/>
      <c r="M112" s="1102"/>
      <c r="N112" s="1102"/>
    </row>
  </sheetData>
  <mergeCells count="6">
    <mergeCell ref="A11:G11"/>
    <mergeCell ref="A1:G1"/>
    <mergeCell ref="A2:G2"/>
    <mergeCell ref="A3:G3"/>
    <mergeCell ref="A4:G4"/>
    <mergeCell ref="G7:G8"/>
  </mergeCells>
  <printOptions horizontalCentered="1"/>
  <pageMargins left="0.25" right="0.25" top="1" bottom="0" header="0.65" footer="0"/>
  <pageSetup scale="47" fitToHeight="2" orientation="portrait" r:id="rId1"/>
  <headerFooter alignWithMargins="0">
    <oddHeader xml:space="preserve">&amp;R&amp;12AEP - SPP Formula Rate
TCOS - WS A
Page: &amp;P of &amp;N&amp;16
</oddHeader>
    <oddFooter xml:space="preserve">&amp;R &amp;C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Normal="100" workbookViewId="0">
      <selection activeCell="O34" sqref="O34"/>
    </sheetView>
  </sheetViews>
  <sheetFormatPr defaultRowHeight="12.75"/>
  <cols>
    <col min="1" max="1" width="9.140625" style="520"/>
    <col min="2" max="4" width="27.7109375" style="520" customWidth="1"/>
    <col min="5" max="16384" width="9.140625" style="520"/>
  </cols>
  <sheetData>
    <row r="1" spans="1:13" ht="15">
      <c r="A1" s="1556" t="str">
        <f>+'SWEPCO TCOS'!F3</f>
        <v xml:space="preserve">AEP West SPP Member Operating Companies </v>
      </c>
      <c r="B1" s="1556"/>
      <c r="C1" s="1556"/>
      <c r="D1" s="1556"/>
      <c r="E1" s="51"/>
      <c r="F1" s="51"/>
      <c r="G1" s="51"/>
      <c r="H1" s="51"/>
      <c r="I1" s="51"/>
      <c r="J1" s="51"/>
      <c r="K1" s="51"/>
      <c r="L1" s="51"/>
      <c r="M1" s="51"/>
    </row>
    <row r="2" spans="1:13" ht="15">
      <c r="A2" s="1553" t="str">
        <f>+'SWEPCO WS A RB Support '!A2:G2</f>
        <v xml:space="preserve">Actual / Projected 2019 Rate Year Cost of Service Formula Rate </v>
      </c>
      <c r="B2" s="1553"/>
      <c r="C2" s="1553"/>
      <c r="D2" s="1553"/>
      <c r="E2" s="420"/>
      <c r="F2" s="420"/>
      <c r="G2" s="420"/>
      <c r="H2" s="420"/>
      <c r="I2" s="420"/>
      <c r="J2" s="420"/>
      <c r="K2" s="420"/>
      <c r="L2" s="420"/>
      <c r="M2" s="420"/>
    </row>
    <row r="3" spans="1:13" ht="15.75">
      <c r="A3" s="1554" t="s">
        <v>1131</v>
      </c>
      <c r="B3" s="1554"/>
      <c r="C3" s="1554"/>
      <c r="D3" s="1554"/>
      <c r="E3" s="420"/>
      <c r="F3" s="420"/>
      <c r="G3" s="420"/>
      <c r="H3" s="420"/>
      <c r="I3" s="420"/>
      <c r="J3" s="420"/>
      <c r="K3" s="420"/>
      <c r="L3" s="420"/>
      <c r="M3" s="420"/>
    </row>
    <row r="4" spans="1:13" ht="15.75">
      <c r="A4" s="1608" t="str">
        <f>+'SWEPCO TCOS'!F7</f>
        <v>SOUTHWESTERN ELECTRIC POWER COMPANY</v>
      </c>
      <c r="B4" s="1608"/>
      <c r="C4" s="1608"/>
      <c r="D4" s="1608"/>
      <c r="E4" s="1107"/>
      <c r="F4" s="1107"/>
      <c r="G4" s="1107"/>
      <c r="H4" s="1107"/>
      <c r="I4" s="1107"/>
      <c r="J4" s="1107"/>
      <c r="K4" s="1107"/>
      <c r="L4" s="1107"/>
      <c r="M4" s="1107"/>
    </row>
    <row r="5" spans="1:13">
      <c r="A5" s="911"/>
      <c r="B5" s="911"/>
      <c r="C5" s="911"/>
      <c r="D5" s="911"/>
    </row>
    <row r="6" spans="1:13" ht="14.25">
      <c r="A6" s="912" t="s">
        <v>580</v>
      </c>
      <c r="B6" s="913"/>
      <c r="C6" s="914" t="s">
        <v>384</v>
      </c>
      <c r="D6" s="915" t="s">
        <v>346</v>
      </c>
    </row>
    <row r="7" spans="1:13" ht="15">
      <c r="A7" s="916"/>
      <c r="B7" s="917"/>
      <c r="C7" s="918"/>
      <c r="D7" s="918"/>
    </row>
    <row r="8" spans="1:13" ht="14.25">
      <c r="A8" s="919">
        <v>1</v>
      </c>
      <c r="B8" s="920" t="s">
        <v>582</v>
      </c>
      <c r="C8" s="921"/>
      <c r="D8" s="869">
        <v>0</v>
      </c>
    </row>
    <row r="9" spans="1:13" ht="14.25">
      <c r="A9" s="921"/>
      <c r="B9" s="921"/>
      <c r="C9" s="921"/>
      <c r="D9" s="921"/>
    </row>
    <row r="10" spans="1:13" ht="14.25">
      <c r="A10" s="921"/>
      <c r="B10" s="921"/>
      <c r="C10" s="921"/>
      <c r="D10" s="921"/>
    </row>
    <row r="11" spans="1:13" ht="119.25" customHeight="1">
      <c r="A11" s="922" t="s">
        <v>581</v>
      </c>
      <c r="B11" s="1558" t="s">
        <v>1123</v>
      </c>
      <c r="C11" s="1558"/>
      <c r="D11" s="1558"/>
    </row>
    <row r="12" spans="1:13" ht="14.25">
      <c r="A12" s="921"/>
      <c r="B12" s="921"/>
      <c r="C12" s="921"/>
      <c r="D12" s="921"/>
    </row>
    <row r="13" spans="1:13" ht="14.25">
      <c r="A13" s="921"/>
      <c r="B13" s="921"/>
      <c r="C13" s="921"/>
      <c r="D13" s="921"/>
    </row>
    <row r="14" spans="1:13" s="38" customFormat="1" ht="14.25">
      <c r="A14" s="923"/>
      <c r="B14" s="923"/>
      <c r="C14" s="923"/>
      <c r="D14" s="923"/>
    </row>
    <row r="15" spans="1:13" s="38" customFormat="1" ht="14.25">
      <c r="A15" s="924"/>
      <c r="B15" s="925"/>
      <c r="C15" s="923"/>
      <c r="D15" s="923"/>
    </row>
    <row r="16" spans="1:13" ht="15" customHeight="1">
      <c r="A16" s="926"/>
    </row>
    <row r="17" spans="2:2" ht="15.75">
      <c r="B17" s="720"/>
    </row>
    <row r="18" spans="2:2" ht="15.75">
      <c r="B18" s="720"/>
    </row>
  </sheetData>
  <mergeCells count="5">
    <mergeCell ref="A1:D1"/>
    <mergeCell ref="A2:D2"/>
    <mergeCell ref="A3:D3"/>
    <mergeCell ref="A4:D4"/>
    <mergeCell ref="B11:D11"/>
  </mergeCells>
  <pageMargins left="0.7" right="0.7" top="0.75" bottom="0.75" header="0.3" footer="0.3"/>
  <pageSetup orientation="portrait" r:id="rId1"/>
  <headerFooter>
    <oddHeader xml:space="preserve">&amp;RAEP - SPP Formula Rate
TCOS - WS B
Page: &amp;P of &amp;N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3"/>
  <sheetViews>
    <sheetView showWhiteSpace="0" topLeftCell="A16" zoomScale="70" zoomScaleNormal="70" zoomScaleSheetLayoutView="93" workbookViewId="0">
      <selection activeCell="O34" sqref="O34"/>
    </sheetView>
  </sheetViews>
  <sheetFormatPr defaultRowHeight="12.75"/>
  <cols>
    <col min="1" max="2" width="9.7109375" style="1308" customWidth="1"/>
    <col min="3" max="3" width="50.7109375" style="1286" customWidth="1"/>
    <col min="4" max="10" width="16.7109375" style="1286" customWidth="1"/>
    <col min="11" max="11" width="13.85546875" style="1286" customWidth="1"/>
    <col min="12" max="16384" width="9.140625" style="1286"/>
  </cols>
  <sheetData>
    <row r="1" spans="1:16" ht="18">
      <c r="A1" s="1561" t="str">
        <f>+'SWEPCO TCOS'!F3</f>
        <v xml:space="preserve">AEP West SPP Member Operating Companies </v>
      </c>
      <c r="B1" s="1561"/>
      <c r="C1" s="1561"/>
      <c r="D1" s="1561"/>
      <c r="E1" s="1561"/>
      <c r="F1" s="1561"/>
      <c r="G1" s="1561"/>
      <c r="H1" s="1561"/>
      <c r="I1" s="1561"/>
      <c r="J1" s="1561"/>
      <c r="K1" s="667"/>
      <c r="L1" s="38"/>
      <c r="M1" s="38"/>
      <c r="N1" s="38"/>
      <c r="O1" s="38"/>
      <c r="P1" s="38"/>
    </row>
    <row r="2" spans="1:16" ht="18">
      <c r="A2" s="1562" t="str">
        <f>+'SWEPCO WS A RB Support '!A2:G2</f>
        <v xml:space="preserve">Actual / Projected 2019 Rate Year Cost of Service Formula Rate </v>
      </c>
      <c r="B2" s="1562"/>
      <c r="C2" s="1562"/>
      <c r="D2" s="1562"/>
      <c r="E2" s="1562"/>
      <c r="F2" s="1562"/>
      <c r="G2" s="1562"/>
      <c r="H2" s="1562"/>
      <c r="I2" s="1562"/>
      <c r="J2" s="1562"/>
      <c r="K2" s="667"/>
      <c r="L2" s="38"/>
      <c r="M2" s="38"/>
      <c r="N2" s="38"/>
      <c r="O2" s="38"/>
      <c r="P2" s="38"/>
    </row>
    <row r="3" spans="1:16" ht="18">
      <c r="A3" s="1562" t="s">
        <v>583</v>
      </c>
      <c r="B3" s="1562"/>
      <c r="C3" s="1562"/>
      <c r="D3" s="1562"/>
      <c r="E3" s="1562"/>
      <c r="F3" s="1562"/>
      <c r="G3" s="1562"/>
      <c r="H3" s="1562"/>
      <c r="I3" s="1562"/>
      <c r="J3" s="1562"/>
    </row>
    <row r="4" spans="1:16" ht="18">
      <c r="A4" s="1563" t="str">
        <f>+'SWEPCO TCOS'!F7</f>
        <v>SOUTHWESTERN ELECTRIC POWER COMPANY</v>
      </c>
      <c r="B4" s="1563"/>
      <c r="C4" s="1563"/>
      <c r="D4" s="1563"/>
      <c r="E4" s="1563"/>
      <c r="F4" s="1563"/>
      <c r="G4" s="1563"/>
      <c r="H4" s="1563"/>
      <c r="I4" s="1563"/>
      <c r="J4" s="1563"/>
    </row>
    <row r="5" spans="1:16" ht="20.25">
      <c r="B5" s="680"/>
      <c r="C5" s="1363"/>
      <c r="D5" s="1363"/>
      <c r="E5" s="165"/>
      <c r="F5" s="1363"/>
      <c r="G5" s="1363"/>
      <c r="H5" s="1363"/>
      <c r="I5" s="1363"/>
      <c r="J5" s="165"/>
    </row>
    <row r="6" spans="1:16" ht="20.25">
      <c r="B6" s="680"/>
      <c r="C6" s="165" t="s">
        <v>291</v>
      </c>
      <c r="D6" s="1363"/>
      <c r="E6" s="165"/>
      <c r="F6" s="1363"/>
      <c r="G6" s="1363"/>
      <c r="H6" s="1363"/>
      <c r="I6" s="1363"/>
      <c r="J6" s="1363"/>
    </row>
    <row r="7" spans="1:16">
      <c r="C7" s="1289"/>
      <c r="G7" s="1308"/>
      <c r="H7" s="1308"/>
      <c r="I7" s="1308"/>
    </row>
    <row r="8" spans="1:16">
      <c r="B8" s="1281" t="s">
        <v>338</v>
      </c>
      <c r="C8" s="1281" t="s">
        <v>339</v>
      </c>
      <c r="D8" s="1281" t="s">
        <v>340</v>
      </c>
      <c r="E8" s="1281" t="s">
        <v>266</v>
      </c>
      <c r="F8" s="1281" t="s">
        <v>267</v>
      </c>
      <c r="G8" s="1281" t="s">
        <v>268</v>
      </c>
      <c r="H8" s="1281" t="s">
        <v>273</v>
      </c>
      <c r="I8" s="1281" t="s">
        <v>207</v>
      </c>
      <c r="J8" s="1281" t="s">
        <v>91</v>
      </c>
    </row>
    <row r="9" spans="1:16">
      <c r="E9" s="1285" t="s">
        <v>291</v>
      </c>
      <c r="F9" s="1283" t="s">
        <v>269</v>
      </c>
      <c r="G9" s="1281" t="s">
        <v>184</v>
      </c>
      <c r="H9" s="1281" t="s">
        <v>92</v>
      </c>
      <c r="I9" s="1281" t="s">
        <v>291</v>
      </c>
      <c r="J9" s="1281" t="s">
        <v>354</v>
      </c>
    </row>
    <row r="10" spans="1:16">
      <c r="A10" s="1281" t="s">
        <v>345</v>
      </c>
      <c r="C10" s="1290"/>
      <c r="D10" s="1281"/>
      <c r="E10" s="1281" t="s">
        <v>291</v>
      </c>
      <c r="F10" s="1281" t="s">
        <v>292</v>
      </c>
      <c r="G10" s="1281" t="s">
        <v>225</v>
      </c>
      <c r="H10" s="1281" t="s">
        <v>93</v>
      </c>
      <c r="I10" s="1281" t="s">
        <v>337</v>
      </c>
      <c r="J10" s="1281" t="s">
        <v>90</v>
      </c>
    </row>
    <row r="11" spans="1:16">
      <c r="A11" s="1284" t="s">
        <v>294</v>
      </c>
      <c r="B11" s="1284" t="s">
        <v>272</v>
      </c>
      <c r="C11" s="1284" t="s">
        <v>343</v>
      </c>
      <c r="D11" s="1284" t="s">
        <v>270</v>
      </c>
      <c r="E11" s="1284" t="s">
        <v>94</v>
      </c>
      <c r="F11" s="1284" t="s">
        <v>226</v>
      </c>
      <c r="G11" s="1284" t="s">
        <v>226</v>
      </c>
      <c r="H11" s="1284" t="s">
        <v>95</v>
      </c>
      <c r="I11" s="1284" t="s">
        <v>226</v>
      </c>
      <c r="J11" s="1284" t="s">
        <v>96</v>
      </c>
    </row>
    <row r="12" spans="1:16">
      <c r="C12" s="1289"/>
      <c r="G12" s="1308"/>
      <c r="H12" s="1308"/>
      <c r="I12" s="1308"/>
    </row>
    <row r="13" spans="1:16" ht="12.75" customHeight="1">
      <c r="C13" s="1290"/>
      <c r="G13" s="1308"/>
      <c r="H13" s="1308"/>
      <c r="I13" s="1308"/>
    </row>
    <row r="14" spans="1:16" ht="12.75" customHeight="1">
      <c r="B14" s="1108" t="s">
        <v>557</v>
      </c>
      <c r="C14" s="1290"/>
      <c r="G14" s="1308"/>
      <c r="H14" s="1308"/>
      <c r="I14" s="1308"/>
    </row>
    <row r="15" spans="1:16" ht="12.75" customHeight="1">
      <c r="C15" s="1290"/>
      <c r="G15" s="1308"/>
      <c r="H15" s="1308"/>
      <c r="I15" s="1308"/>
    </row>
    <row r="16" spans="1:16" ht="15.75">
      <c r="C16" s="1109" t="s">
        <v>559</v>
      </c>
    </row>
    <row r="17" spans="1:10" ht="6" customHeight="1">
      <c r="C17" s="1296"/>
    </row>
    <row r="18" spans="1:10" ht="12.75" customHeight="1">
      <c r="A18" s="1308">
        <v>1</v>
      </c>
      <c r="B18" s="683" t="s">
        <v>99</v>
      </c>
      <c r="C18" s="72" t="str">
        <f>""&amp;'SWEPCO TCOS'!N1&amp;" Year End Tax Deferrals - WS C-1"</f>
        <v>2019 Year End Tax Deferrals - WS C-1</v>
      </c>
      <c r="D18" s="1309">
        <f>+'SWEPCO WS C-1 ADIT EOY'!H52</f>
        <v>-1410895282.3599997</v>
      </c>
      <c r="E18" s="1309">
        <f>+'SWEPCO WS C-1 ADIT EOY'!J52</f>
        <v>-15624459.596030202</v>
      </c>
      <c r="F18" s="1309">
        <f>+'SWEPCO WS C-1 ADIT EOY'!K52</f>
        <v>0</v>
      </c>
      <c r="G18" s="1309">
        <f>+'SWEPCO WS C-1 ADIT EOY'!L52</f>
        <v>-1386577880.2446916</v>
      </c>
      <c r="H18" s="1309">
        <f>+'SWEPCO WS C-1 ADIT EOY'!M52</f>
        <v>0</v>
      </c>
      <c r="I18" s="1309">
        <f>+'SWEPCO WS C-1 ADIT EOY'!N52</f>
        <v>-8692942.5192776043</v>
      </c>
      <c r="J18" s="1318"/>
    </row>
    <row r="19" spans="1:10" ht="12.75" customHeight="1">
      <c r="A19" s="1308">
        <f>+A18+1</f>
        <v>2</v>
      </c>
      <c r="B19" s="683" t="s">
        <v>99</v>
      </c>
      <c r="C19" s="72" t="str">
        <f>""&amp;'SWEPCO TCOS'!N1-1&amp;" Year End Tax Deferrals - WS C-2"</f>
        <v>2018 Year End Tax Deferrals - WS C-2</v>
      </c>
      <c r="D19" s="1309">
        <f>+'SWEPCO WS C-2 ADIT BOY'!H50</f>
        <v>-1376177457.3599997</v>
      </c>
      <c r="E19" s="1309">
        <f>+'SWEPCO WS C-2 ADIT BOY'!J50</f>
        <v>-15238396.190814063</v>
      </c>
      <c r="F19" s="1309">
        <f>+'SWEPCO WS C-2 ADIT BOY'!K50</f>
        <v>0</v>
      </c>
      <c r="G19" s="1309">
        <f>+'SWEPCO WS C-2 ADIT BOY'!L50</f>
        <v>-1352539938.4814248</v>
      </c>
      <c r="H19" s="1309">
        <f>+'SWEPCO WS C-2 ADIT BOY'!M50</f>
        <v>0</v>
      </c>
      <c r="I19" s="1309">
        <f>+'SWEPCO WS C-2 ADIT BOY'!N50</f>
        <v>-8399122.687760422</v>
      </c>
      <c r="J19" s="1308"/>
    </row>
    <row r="20" spans="1:10" ht="12.75" customHeight="1">
      <c r="B20" s="1367" t="s">
        <v>291</v>
      </c>
      <c r="D20" s="1310"/>
      <c r="E20" s="1311"/>
      <c r="F20" s="1310"/>
      <c r="G20" s="1310" t="s">
        <v>291</v>
      </c>
      <c r="H20" s="1310"/>
      <c r="I20" s="1310"/>
    </row>
    <row r="21" spans="1:10" ht="12.75" customHeight="1">
      <c r="A21" s="1308">
        <f>+A19+1</f>
        <v>3</v>
      </c>
      <c r="C21" s="1290" t="s">
        <v>97</v>
      </c>
      <c r="D21" s="1287">
        <f t="shared" ref="D21:I21" si="0">D18+D19</f>
        <v>-2787072739.7199993</v>
      </c>
      <c r="E21" s="1287">
        <f t="shared" si="0"/>
        <v>-30862855.786844265</v>
      </c>
      <c r="F21" s="1287">
        <f t="shared" si="0"/>
        <v>0</v>
      </c>
      <c r="G21" s="1287">
        <f t="shared" si="0"/>
        <v>-2739117818.7261162</v>
      </c>
      <c r="H21" s="1287">
        <f t="shared" si="0"/>
        <v>0</v>
      </c>
      <c r="I21" s="1287">
        <f t="shared" si="0"/>
        <v>-17092065.207038026</v>
      </c>
      <c r="J21" s="1315"/>
    </row>
    <row r="22" spans="1:10" ht="12.75" customHeight="1">
      <c r="A22" s="1308">
        <f>+A21+1</f>
        <v>4</v>
      </c>
      <c r="C22" s="1290" t="s">
        <v>1117</v>
      </c>
      <c r="D22" s="278">
        <f t="shared" ref="D22:I22" si="1">D21/2</f>
        <v>-1393536369.8599997</v>
      </c>
      <c r="E22" s="278">
        <f t="shared" si="1"/>
        <v>-15431427.893422132</v>
      </c>
      <c r="F22" s="278">
        <f t="shared" si="1"/>
        <v>0</v>
      </c>
      <c r="G22" s="278">
        <f t="shared" si="1"/>
        <v>-1369558909.3630581</v>
      </c>
      <c r="H22" s="172">
        <f t="shared" si="1"/>
        <v>0</v>
      </c>
      <c r="I22" s="1287">
        <f t="shared" si="1"/>
        <v>-8546032.6035190132</v>
      </c>
      <c r="J22" s="1315"/>
    </row>
    <row r="23" spans="1:10" ht="12.75" customHeight="1">
      <c r="A23" s="1308">
        <f>+A22+1</f>
        <v>5</v>
      </c>
      <c r="B23" s="1110"/>
      <c r="C23" s="819" t="s">
        <v>1116</v>
      </c>
      <c r="D23" s="278"/>
      <c r="E23" s="278"/>
      <c r="F23" s="278"/>
      <c r="G23" s="278">
        <f>'SWEPCO WS C-3 ADIT Proration'!I34</f>
        <v>18635069.994291306</v>
      </c>
      <c r="H23" s="172"/>
      <c r="I23" s="1111"/>
      <c r="J23" s="1315"/>
    </row>
    <row r="24" spans="1:10" ht="12.75" customHeight="1">
      <c r="A24" s="1308">
        <f>+A23+1</f>
        <v>6</v>
      </c>
      <c r="C24" s="1290" t="s">
        <v>579</v>
      </c>
      <c r="D24" s="715">
        <f t="shared" ref="D24:I24" si="2">+D22+D23</f>
        <v>-1393536369.8599997</v>
      </c>
      <c r="E24" s="715">
        <f t="shared" si="2"/>
        <v>-15431427.893422132</v>
      </c>
      <c r="F24" s="715">
        <f t="shared" si="2"/>
        <v>0</v>
      </c>
      <c r="G24" s="715">
        <f t="shared" si="2"/>
        <v>-1350923839.3687668</v>
      </c>
      <c r="H24" s="715">
        <f t="shared" si="2"/>
        <v>0</v>
      </c>
      <c r="I24" s="715">
        <f t="shared" si="2"/>
        <v>-8546032.6035190132</v>
      </c>
      <c r="J24" s="1315"/>
    </row>
    <row r="25" spans="1:10" ht="12.75" customHeight="1">
      <c r="A25" s="1308">
        <f>+A24+1</f>
        <v>7</v>
      </c>
      <c r="B25" s="1112"/>
      <c r="C25" s="1312" t="s">
        <v>1118</v>
      </c>
      <c r="D25" s="1313"/>
      <c r="E25" s="1314">
        <v>0</v>
      </c>
      <c r="F25" s="1314">
        <v>1</v>
      </c>
      <c r="G25" s="1314">
        <f>'SWEPCO TCOS'!J62</f>
        <v>0.20055515085854517</v>
      </c>
      <c r="H25" s="1314">
        <f>'SWEPCO TCOS'!J63</f>
        <v>0.45891524722651478</v>
      </c>
      <c r="I25" s="1314">
        <f>'SWEPCO TCOS'!L217</f>
        <v>7.2207695261754939E-2</v>
      </c>
    </row>
    <row r="26" spans="1:10" ht="12.75" customHeight="1">
      <c r="A26" s="1308">
        <f>+A25+1</f>
        <v>8</v>
      </c>
      <c r="C26" s="1290" t="s">
        <v>98</v>
      </c>
      <c r="E26" s="1315">
        <f>E25*E24</f>
        <v>0</v>
      </c>
      <c r="F26" s="1315">
        <f>F25*F24</f>
        <v>0</v>
      </c>
      <c r="G26" s="1315">
        <f>G25*G24</f>
        <v>-270934734.40300804</v>
      </c>
      <c r="H26" s="1315">
        <f>H25*H24</f>
        <v>0</v>
      </c>
      <c r="I26" s="1315">
        <f>I25*I24</f>
        <v>-617089.31793192308</v>
      </c>
      <c r="J26" s="1316">
        <f>SUM(F26:I26)</f>
        <v>-271551823.72093999</v>
      </c>
    </row>
    <row r="27" spans="1:10" ht="12.75" customHeight="1">
      <c r="C27" s="1296"/>
    </row>
    <row r="28" spans="1:10" ht="12.75" customHeight="1">
      <c r="C28" s="1296"/>
    </row>
    <row r="29" spans="1:10" ht="12.75" customHeight="1">
      <c r="C29" s="1109" t="s">
        <v>560</v>
      </c>
    </row>
    <row r="30" spans="1:10" ht="6" customHeight="1">
      <c r="C30" s="1296"/>
    </row>
    <row r="31" spans="1:10" ht="12.75" customHeight="1">
      <c r="A31" s="1308">
        <f>+A26:B26+1</f>
        <v>9</v>
      </c>
      <c r="B31" s="683" t="s">
        <v>111</v>
      </c>
      <c r="C31" s="72" t="str">
        <f>+C18</f>
        <v>2019 Year End Tax Deferrals - WS C-1</v>
      </c>
      <c r="D31" s="1309">
        <f>+'SWEPCO WS C-1 ADIT EOY'!H114</f>
        <v>-34869314.669999987</v>
      </c>
      <c r="E31" s="1309">
        <f>+'SWEPCO WS C-1 ADIT EOY'!J114</f>
        <v>-18010617.550000001</v>
      </c>
      <c r="F31" s="1309">
        <f>+'SWEPCO WS C-1 ADIT EOY'!K114</f>
        <v>0</v>
      </c>
      <c r="G31" s="1309">
        <f>+'SWEPCO WS C-1 ADIT EOY'!L114</f>
        <v>-890194.42</v>
      </c>
      <c r="H31" s="1309">
        <f>+'SWEPCO WS C-1 ADIT EOY'!M114</f>
        <v>0</v>
      </c>
      <c r="I31" s="1309">
        <f>+'SWEPCO WS C-1 ADIT EOY'!N114</f>
        <v>-15968502.700000001</v>
      </c>
      <c r="J31" s="1318"/>
    </row>
    <row r="32" spans="1:10" ht="12.75" customHeight="1">
      <c r="A32" s="1308">
        <f>+A31+1</f>
        <v>10</v>
      </c>
      <c r="B32" s="683" t="s">
        <v>111</v>
      </c>
      <c r="C32" s="72" t="str">
        <f>+C19</f>
        <v>2018 Year End Tax Deferrals - WS C-2</v>
      </c>
      <c r="D32" s="1309">
        <f>+'SWEPCO WS C-2 ADIT BOY'!H112</f>
        <v>-34869314.669999987</v>
      </c>
      <c r="E32" s="1309">
        <f>+'SWEPCO WS C-2 ADIT BOY'!J112</f>
        <v>-18010617.550000001</v>
      </c>
      <c r="F32" s="1309">
        <f>+'SWEPCO WS C-2 ADIT BOY'!K112</f>
        <v>0</v>
      </c>
      <c r="G32" s="1309">
        <f>+'SWEPCO WS C-2 ADIT BOY'!L112</f>
        <v>-890194.42</v>
      </c>
      <c r="H32" s="1309">
        <f>+'SWEPCO WS C-2 ADIT BOY'!M112</f>
        <v>0</v>
      </c>
      <c r="I32" s="1309">
        <f>+'SWEPCO WS C-2 ADIT BOY'!N112</f>
        <v>-15968502.700000001</v>
      </c>
      <c r="J32" s="1308"/>
    </row>
    <row r="33" spans="1:10" ht="12.75" customHeight="1">
      <c r="B33" s="1367" t="s">
        <v>291</v>
      </c>
      <c r="D33" s="1310"/>
      <c r="E33" s="1311"/>
      <c r="F33" s="1310"/>
      <c r="G33" s="1310" t="s">
        <v>291</v>
      </c>
      <c r="H33" s="1310"/>
      <c r="I33" s="1310"/>
    </row>
    <row r="34" spans="1:10" ht="12.75" customHeight="1">
      <c r="A34" s="1308">
        <f>+A32+1</f>
        <v>11</v>
      </c>
      <c r="C34" s="1290" t="s">
        <v>97</v>
      </c>
      <c r="D34" s="1287">
        <f t="shared" ref="D34:I34" si="3">D31+D32</f>
        <v>-69738629.339999974</v>
      </c>
      <c r="E34" s="1287">
        <f t="shared" si="3"/>
        <v>-36021235.100000001</v>
      </c>
      <c r="F34" s="1287">
        <f t="shared" si="3"/>
        <v>0</v>
      </c>
      <c r="G34" s="1287">
        <f t="shared" si="3"/>
        <v>-1780388.84</v>
      </c>
      <c r="H34" s="1287">
        <f t="shared" si="3"/>
        <v>0</v>
      </c>
      <c r="I34" s="1287">
        <f t="shared" si="3"/>
        <v>-31937005.400000002</v>
      </c>
      <c r="J34" s="1315"/>
    </row>
    <row r="35" spans="1:10" ht="12.75" customHeight="1">
      <c r="A35" s="1308">
        <f>+A34+1</f>
        <v>12</v>
      </c>
      <c r="C35" s="1290" t="s">
        <v>399</v>
      </c>
      <c r="D35" s="278">
        <f t="shared" ref="D35:I35" si="4">D34/2</f>
        <v>-34869314.669999987</v>
      </c>
      <c r="E35" s="278">
        <f t="shared" si="4"/>
        <v>-18010617.550000001</v>
      </c>
      <c r="F35" s="278">
        <f t="shared" si="4"/>
        <v>0</v>
      </c>
      <c r="G35" s="278">
        <f t="shared" si="4"/>
        <v>-890194.42</v>
      </c>
      <c r="H35" s="278">
        <f t="shared" si="4"/>
        <v>0</v>
      </c>
      <c r="I35" s="278">
        <f t="shared" si="4"/>
        <v>-15968502.700000001</v>
      </c>
      <c r="J35" s="1315"/>
    </row>
    <row r="36" spans="1:10" ht="12.75" customHeight="1">
      <c r="A36" s="1308">
        <f>+A35+1</f>
        <v>13</v>
      </c>
      <c r="B36" s="1112"/>
      <c r="C36" s="1312" t="s">
        <v>1119</v>
      </c>
      <c r="D36" s="1313"/>
      <c r="E36" s="1314">
        <f>E25</f>
        <v>0</v>
      </c>
      <c r="F36" s="1314">
        <f>F25</f>
        <v>1</v>
      </c>
      <c r="G36" s="1314">
        <f>G25</f>
        <v>0.20055515085854517</v>
      </c>
      <c r="H36" s="1314">
        <f>H25</f>
        <v>0.45891524722651478</v>
      </c>
      <c r="I36" s="1314">
        <f>I25</f>
        <v>7.2207695261754939E-2</v>
      </c>
    </row>
    <row r="37" spans="1:10" ht="12.75" customHeight="1">
      <c r="A37" s="1308">
        <f>+A36+1</f>
        <v>14</v>
      </c>
      <c r="C37" s="1290" t="s">
        <v>98</v>
      </c>
      <c r="E37" s="1315">
        <f>E35*E36</f>
        <v>0</v>
      </c>
      <c r="F37" s="1315">
        <f>F35*F36</f>
        <v>0</v>
      </c>
      <c r="G37" s="1315">
        <f>G35*G36</f>
        <v>-178533.07619653511</v>
      </c>
      <c r="H37" s="1315">
        <f>H35*H36</f>
        <v>0</v>
      </c>
      <c r="I37" s="1315">
        <f>I35*I36</f>
        <v>-1153048.776748111</v>
      </c>
      <c r="J37" s="1316">
        <f>SUM(F37:I37)</f>
        <v>-1331581.852944646</v>
      </c>
    </row>
    <row r="38" spans="1:10" ht="12.75" customHeight="1">
      <c r="C38" s="1296"/>
    </row>
    <row r="39" spans="1:10" ht="12.75" customHeight="1">
      <c r="B39" s="1291"/>
      <c r="C39" s="662"/>
      <c r="D39" s="662"/>
      <c r="E39" s="662"/>
      <c r="F39" s="662"/>
      <c r="G39" s="662"/>
      <c r="H39" s="662"/>
      <c r="I39" s="662"/>
      <c r="J39" s="662"/>
    </row>
    <row r="40" spans="1:10" ht="12.75" customHeight="1">
      <c r="C40" s="1290"/>
      <c r="E40" s="1315"/>
      <c r="F40" s="1315"/>
      <c r="G40" s="1315"/>
      <c r="H40" s="1315"/>
      <c r="I40" s="1315"/>
      <c r="J40" s="1317"/>
    </row>
    <row r="41" spans="1:10" ht="15.75">
      <c r="C41" s="1109" t="s">
        <v>558</v>
      </c>
    </row>
    <row r="42" spans="1:10" ht="12.75" customHeight="1">
      <c r="I42" s="1358"/>
    </row>
    <row r="43" spans="1:10" ht="12.75" customHeight="1">
      <c r="A43" s="1308">
        <f>+A37+1</f>
        <v>15</v>
      </c>
      <c r="B43" s="697">
        <v>190.1</v>
      </c>
      <c r="C43" s="72" t="str">
        <f>+C18</f>
        <v>2019 Year End Tax Deferrals - WS C-1</v>
      </c>
      <c r="D43" s="1309">
        <f>+'SWEPCO WS C-1 ADIT EOY'!H195</f>
        <v>113842055.69999999</v>
      </c>
      <c r="E43" s="1309">
        <f>+'SWEPCO WS C-1 ADIT EOY'!J195</f>
        <v>102734950.75999999</v>
      </c>
      <c r="F43" s="1309">
        <f>+'SWEPCO WS C-1 ADIT EOY'!K195</f>
        <v>0</v>
      </c>
      <c r="G43" s="1309">
        <f>+'SWEPCO WS C-1 ADIT EOY'!L195</f>
        <v>4243839.5500000007</v>
      </c>
      <c r="H43" s="1309">
        <f>+'SWEPCO WS C-1 ADIT EOY'!M195</f>
        <v>0</v>
      </c>
      <c r="I43" s="1309">
        <f>+'SWEPCO WS C-1 ADIT EOY'!N195</f>
        <v>6863266.0899999999</v>
      </c>
      <c r="J43" s="1318"/>
    </row>
    <row r="44" spans="1:10">
      <c r="A44" s="1308">
        <f>+A43+1</f>
        <v>16</v>
      </c>
      <c r="B44" s="697">
        <v>190.1</v>
      </c>
      <c r="C44" s="72" t="str">
        <f>+C19</f>
        <v>2018 Year End Tax Deferrals - WS C-2</v>
      </c>
      <c r="D44" s="1309">
        <f>+'SWEPCO WS C-2 ADIT BOY'!H195</f>
        <v>113842055.69999999</v>
      </c>
      <c r="E44" s="1309">
        <f>+'SWEPCO WS C-2 ADIT BOY'!J195</f>
        <v>102734950.75999999</v>
      </c>
      <c r="F44" s="1309">
        <f>+'SWEPCO WS C-2 ADIT BOY'!K195</f>
        <v>0</v>
      </c>
      <c r="G44" s="1309">
        <f>+'SWEPCO WS C-2 ADIT BOY'!L195</f>
        <v>4243839.5500000007</v>
      </c>
      <c r="H44" s="1309">
        <f>+'SWEPCO WS C-2 ADIT BOY'!M195</f>
        <v>0</v>
      </c>
      <c r="I44" s="1309">
        <f>+'SWEPCO WS C-2 ADIT BOY'!N195</f>
        <v>6863266.0899999999</v>
      </c>
      <c r="J44" s="1308"/>
    </row>
    <row r="45" spans="1:10">
      <c r="B45" s="1367" t="s">
        <v>291</v>
      </c>
      <c r="D45" s="1310"/>
      <c r="E45" s="1311"/>
      <c r="F45" s="1310"/>
      <c r="G45" s="1310" t="s">
        <v>291</v>
      </c>
      <c r="H45" s="1310"/>
      <c r="I45" s="1310"/>
    </row>
    <row r="46" spans="1:10">
      <c r="A46" s="1308">
        <f>+A44+1</f>
        <v>17</v>
      </c>
      <c r="C46" s="1290" t="s">
        <v>97</v>
      </c>
      <c r="D46" s="1287">
        <f t="shared" ref="D46:I46" si="5">D43+D44</f>
        <v>227684111.39999998</v>
      </c>
      <c r="E46" s="1287">
        <f t="shared" si="5"/>
        <v>205469901.51999998</v>
      </c>
      <c r="F46" s="1287">
        <f t="shared" si="5"/>
        <v>0</v>
      </c>
      <c r="G46" s="1287">
        <f t="shared" si="5"/>
        <v>8487679.1000000015</v>
      </c>
      <c r="H46" s="1287">
        <f t="shared" si="5"/>
        <v>0</v>
      </c>
      <c r="I46" s="1287">
        <f t="shared" si="5"/>
        <v>13726532.18</v>
      </c>
      <c r="J46" s="1315"/>
    </row>
    <row r="47" spans="1:10">
      <c r="A47" s="1308">
        <f>+A46+1</f>
        <v>18</v>
      </c>
      <c r="C47" s="1290" t="s">
        <v>1117</v>
      </c>
      <c r="D47" s="172">
        <f t="shared" ref="D47:I47" si="6">D46/2</f>
        <v>113842055.69999999</v>
      </c>
      <c r="E47" s="172">
        <f t="shared" si="6"/>
        <v>102734950.75999999</v>
      </c>
      <c r="F47" s="172">
        <f t="shared" si="6"/>
        <v>0</v>
      </c>
      <c r="G47" s="172">
        <f t="shared" si="6"/>
        <v>4243839.5500000007</v>
      </c>
      <c r="H47" s="172">
        <f t="shared" si="6"/>
        <v>0</v>
      </c>
      <c r="I47" s="172">
        <f t="shared" si="6"/>
        <v>6863266.0899999999</v>
      </c>
      <c r="J47" s="1315"/>
    </row>
    <row r="48" spans="1:10">
      <c r="A48" s="1308">
        <f>+A47+1</f>
        <v>19</v>
      </c>
      <c r="C48" s="819" t="s">
        <v>1116</v>
      </c>
      <c r="D48" s="278"/>
      <c r="E48" s="278"/>
      <c r="F48" s="278">
        <f>+'SWEPCO WS C-3 ADIT Proration'!I61</f>
        <v>0</v>
      </c>
      <c r="G48" s="278"/>
      <c r="H48" s="172"/>
      <c r="I48" s="1111"/>
      <c r="J48" s="1315"/>
    </row>
    <row r="49" spans="1:10">
      <c r="A49" s="1308">
        <f>+A48+1</f>
        <v>20</v>
      </c>
      <c r="C49" s="1290" t="s">
        <v>579</v>
      </c>
      <c r="D49" s="715">
        <f t="shared" ref="D49:I49" si="7">+D47+D48</f>
        <v>113842055.69999999</v>
      </c>
      <c r="E49" s="715">
        <f t="shared" si="7"/>
        <v>102734950.75999999</v>
      </c>
      <c r="F49" s="715">
        <f t="shared" si="7"/>
        <v>0</v>
      </c>
      <c r="G49" s="715">
        <f t="shared" si="7"/>
        <v>4243839.5500000007</v>
      </c>
      <c r="H49" s="715">
        <f t="shared" si="7"/>
        <v>0</v>
      </c>
      <c r="I49" s="715">
        <f t="shared" si="7"/>
        <v>6863266.0899999999</v>
      </c>
      <c r="J49" s="1315"/>
    </row>
    <row r="50" spans="1:10" ht="12.75" customHeight="1">
      <c r="A50" s="1308">
        <f>+A49+1</f>
        <v>21</v>
      </c>
      <c r="B50" s="1112"/>
      <c r="C50" s="1312" t="s">
        <v>1118</v>
      </c>
      <c r="D50" s="1313"/>
      <c r="E50" s="1314">
        <v>0</v>
      </c>
      <c r="F50" s="1314">
        <v>1</v>
      </c>
      <c r="G50" s="1314">
        <f>G36</f>
        <v>0.20055515085854517</v>
      </c>
      <c r="H50" s="1314">
        <f>H36</f>
        <v>0.45891524722651478</v>
      </c>
      <c r="I50" s="1314">
        <f>I36</f>
        <v>7.2207695261754939E-2</v>
      </c>
    </row>
    <row r="51" spans="1:10">
      <c r="A51" s="1308">
        <f>+A50+1</f>
        <v>22</v>
      </c>
      <c r="C51" s="1290" t="s">
        <v>98</v>
      </c>
      <c r="E51" s="1315">
        <f>E50*E49</f>
        <v>0</v>
      </c>
      <c r="F51" s="1315">
        <f>F50*F49</f>
        <v>0</v>
      </c>
      <c r="G51" s="1315">
        <f>G50*G49</f>
        <v>851123.88116971054</v>
      </c>
      <c r="H51" s="1315">
        <f>H50*H49</f>
        <v>0</v>
      </c>
      <c r="I51" s="1315">
        <f>I50*I49</f>
        <v>495580.62632705632</v>
      </c>
      <c r="J51" s="1316">
        <f>SUM(F51:I51)</f>
        <v>1346704.5074967667</v>
      </c>
    </row>
    <row r="52" spans="1:10">
      <c r="E52" s="1357"/>
      <c r="F52" s="1357"/>
      <c r="G52" s="1357"/>
      <c r="I52" s="1358"/>
    </row>
    <row r="53" spans="1:10">
      <c r="E53" s="1356"/>
      <c r="F53" s="1357"/>
      <c r="G53" s="1609" t="s">
        <v>89</v>
      </c>
      <c r="I53" s="1358"/>
      <c r="J53" s="1315" t="s">
        <v>291</v>
      </c>
    </row>
    <row r="54" spans="1:10" ht="15.75">
      <c r="C54" s="1109" t="s">
        <v>100</v>
      </c>
      <c r="E54" s="1356"/>
      <c r="F54" s="1357"/>
      <c r="G54" s="1560"/>
    </row>
    <row r="55" spans="1:10" ht="6.75" customHeight="1">
      <c r="C55" s="1296"/>
      <c r="E55" s="1356"/>
      <c r="F55" s="1357"/>
      <c r="G55" s="1560"/>
    </row>
    <row r="56" spans="1:10" ht="15.75">
      <c r="C56" s="1113"/>
      <c r="G56" s="1560"/>
    </row>
    <row r="57" spans="1:10">
      <c r="A57" s="1308">
        <f>+A51+1</f>
        <v>23</v>
      </c>
      <c r="B57" s="700">
        <v>255</v>
      </c>
      <c r="C57" s="701" t="str">
        <f>"Acc Defrd ITC - Federal - 12/31/"&amp;'SWEPCO TCOS'!N1&amp;" (FF1 p. 267, Ln 2.h)"</f>
        <v>Acc Defrd ITC - Federal - 12/31/2019 (FF1 p. 267, Ln 2.h)</v>
      </c>
      <c r="D57" s="1114">
        <v>0</v>
      </c>
      <c r="E57" s="1309"/>
      <c r="F57" s="1309"/>
      <c r="G57" s="1309">
        <v>0</v>
      </c>
      <c r="H57" s="1309"/>
      <c r="I57" s="1309"/>
      <c r="J57" s="1318"/>
    </row>
    <row r="58" spans="1:10">
      <c r="A58" s="1308">
        <f>+A57+1</f>
        <v>24</v>
      </c>
      <c r="B58" s="700">
        <v>255</v>
      </c>
      <c r="C58" s="701" t="str">
        <f>"Acc Defrd ITC - Federal - 12/31/"&amp;'SWEPCO TCOS'!N1-1&amp;" (FF1 p. 266, Ln 2.b)"</f>
        <v>Acc Defrd ITC - Federal - 12/31/2018 (FF1 p. 266, Ln 2.b)</v>
      </c>
      <c r="D58" s="1114">
        <v>0</v>
      </c>
      <c r="E58" s="1309"/>
      <c r="F58" s="1309"/>
      <c r="G58" s="1309">
        <v>0</v>
      </c>
      <c r="H58" s="1309"/>
      <c r="I58" s="1309"/>
      <c r="J58" s="1308"/>
    </row>
    <row r="59" spans="1:10">
      <c r="B59" s="1367" t="s">
        <v>291</v>
      </c>
      <c r="D59" s="1310"/>
      <c r="E59" s="1310"/>
      <c r="F59" s="1310"/>
      <c r="G59" s="1310" t="s">
        <v>291</v>
      </c>
      <c r="H59" s="1310"/>
      <c r="I59" s="1310"/>
    </row>
    <row r="60" spans="1:10">
      <c r="A60" s="1308">
        <f>+A58+1</f>
        <v>25</v>
      </c>
      <c r="C60" s="1290" t="s">
        <v>97</v>
      </c>
      <c r="D60" s="1287">
        <f>D57+D58</f>
        <v>0</v>
      </c>
      <c r="E60" s="1287"/>
      <c r="F60" s="1287"/>
      <c r="G60" s="1287">
        <f>G57+G58</f>
        <v>0</v>
      </c>
      <c r="H60" s="1287"/>
      <c r="I60" s="1287"/>
      <c r="J60" s="1315"/>
    </row>
    <row r="61" spans="1:10">
      <c r="A61" s="1308">
        <f>+A60+1</f>
        <v>26</v>
      </c>
      <c r="C61" s="1290" t="s">
        <v>399</v>
      </c>
      <c r="D61" s="278">
        <f>D60/2</f>
        <v>0</v>
      </c>
      <c r="E61" s="278"/>
      <c r="F61" s="278"/>
      <c r="G61" s="278">
        <f>G60/2</f>
        <v>0</v>
      </c>
      <c r="H61" s="172"/>
      <c r="I61" s="172"/>
      <c r="J61" s="1315"/>
    </row>
    <row r="62" spans="1:10" ht="12.75" customHeight="1">
      <c r="A62" s="1308">
        <f>+A61+1</f>
        <v>27</v>
      </c>
      <c r="B62" s="1112"/>
      <c r="C62" s="1312" t="s">
        <v>1118</v>
      </c>
      <c r="D62" s="1313"/>
      <c r="E62" s="1320"/>
      <c r="F62" s="1320"/>
      <c r="G62" s="1314">
        <f>G50</f>
        <v>0.20055515085854517</v>
      </c>
      <c r="H62" s="1320"/>
      <c r="I62" s="1320"/>
    </row>
    <row r="63" spans="1:10">
      <c r="A63" s="1308">
        <f>+A62+1</f>
        <v>28</v>
      </c>
      <c r="C63" s="1290" t="s">
        <v>98</v>
      </c>
      <c r="E63" s="1320" t="s">
        <v>29</v>
      </c>
      <c r="F63" s="1320" t="s">
        <v>29</v>
      </c>
      <c r="G63" s="1315">
        <f>G62*G61</f>
        <v>0</v>
      </c>
      <c r="H63" s="1320" t="s">
        <v>29</v>
      </c>
      <c r="I63" s="1320" t="s">
        <v>29</v>
      </c>
      <c r="J63" s="1316">
        <f>SUM(F63:I63)</f>
        <v>0</v>
      </c>
    </row>
    <row r="64" spans="1:10" ht="12.75" customHeight="1">
      <c r="C64" s="1296"/>
      <c r="E64" s="1356"/>
      <c r="F64" s="1357"/>
      <c r="G64" s="1356"/>
    </row>
    <row r="65" spans="2:10" ht="12.75" customHeight="1">
      <c r="C65" s="1296"/>
      <c r="E65" s="1356"/>
      <c r="F65" s="1357"/>
      <c r="G65" s="1356"/>
    </row>
    <row r="66" spans="2:10" ht="12.75" customHeight="1">
      <c r="B66" s="198" t="s">
        <v>101</v>
      </c>
      <c r="C66" s="38" t="s">
        <v>102</v>
      </c>
      <c r="D66" s="38"/>
      <c r="E66" s="38"/>
      <c r="F66" s="38"/>
      <c r="G66" s="38"/>
      <c r="H66" s="38"/>
      <c r="I66" s="38"/>
      <c r="J66" s="38"/>
    </row>
    <row r="67" spans="2:10" ht="12.75" customHeight="1">
      <c r="B67" s="198"/>
      <c r="C67" s="38"/>
      <c r="D67" s="38"/>
      <c r="E67" s="38"/>
      <c r="F67" s="38"/>
      <c r="G67" s="38"/>
      <c r="H67" s="38"/>
      <c r="I67" s="38"/>
      <c r="J67" s="38"/>
    </row>
    <row r="68" spans="2:10" ht="12.75" customHeight="1">
      <c r="B68" s="198"/>
      <c r="C68" s="38"/>
      <c r="D68" s="38"/>
      <c r="E68" s="38"/>
      <c r="F68" s="38"/>
      <c r="G68" s="38"/>
      <c r="H68" s="38"/>
      <c r="I68" s="38"/>
      <c r="J68" s="38"/>
    </row>
    <row r="69" spans="2:10" ht="12.75" customHeight="1">
      <c r="B69" s="198"/>
      <c r="C69" s="38"/>
      <c r="D69" s="38"/>
      <c r="E69" s="38"/>
      <c r="F69" s="38"/>
      <c r="G69" s="38"/>
      <c r="H69" s="38"/>
      <c r="I69" s="38"/>
      <c r="J69" s="38"/>
    </row>
    <row r="70" spans="2:10" ht="12.75" customHeight="1">
      <c r="B70" s="198"/>
      <c r="C70" s="38"/>
      <c r="D70" s="38"/>
      <c r="E70" s="38"/>
      <c r="F70" s="38"/>
      <c r="G70" s="38"/>
      <c r="H70" s="38"/>
      <c r="I70" s="38"/>
      <c r="J70" s="38"/>
    </row>
    <row r="71" spans="2:10">
      <c r="B71" s="198"/>
      <c r="C71" s="38"/>
      <c r="D71" s="38"/>
      <c r="E71" s="38"/>
      <c r="F71" s="38"/>
      <c r="G71" s="38"/>
      <c r="H71" s="38"/>
      <c r="I71" s="38"/>
      <c r="J71" s="38"/>
    </row>
    <row r="72" spans="2:10">
      <c r="B72" s="198"/>
      <c r="C72" s="38"/>
      <c r="D72" s="38"/>
      <c r="E72" s="38"/>
      <c r="F72" s="38"/>
      <c r="G72" s="38"/>
      <c r="H72" s="38"/>
      <c r="I72" s="38"/>
      <c r="J72" s="38"/>
    </row>
    <row r="73" spans="2:10">
      <c r="B73" s="198"/>
      <c r="C73" s="38"/>
      <c r="D73" s="38"/>
      <c r="E73" s="38"/>
      <c r="F73" s="38"/>
      <c r="G73" s="38"/>
      <c r="H73" s="38"/>
      <c r="I73" s="38"/>
      <c r="J73" s="38"/>
    </row>
    <row r="74" spans="2:10">
      <c r="B74" s="198"/>
      <c r="C74" s="38"/>
      <c r="D74" s="38"/>
      <c r="E74" s="38"/>
      <c r="F74" s="38"/>
      <c r="G74" s="38"/>
      <c r="H74" s="38"/>
      <c r="I74" s="38"/>
      <c r="J74" s="38"/>
    </row>
    <row r="75" spans="2:10">
      <c r="B75" s="198"/>
      <c r="C75" s="38"/>
      <c r="D75" s="38"/>
      <c r="E75" s="38"/>
      <c r="F75" s="38"/>
      <c r="G75" s="38"/>
      <c r="H75" s="38"/>
      <c r="I75" s="38"/>
      <c r="J75" s="38" t="s">
        <v>291</v>
      </c>
    </row>
    <row r="76" spans="2:10">
      <c r="B76" s="198"/>
      <c r="C76" s="38"/>
      <c r="D76" s="38"/>
      <c r="E76" s="38"/>
      <c r="F76" s="38"/>
      <c r="G76" s="38"/>
      <c r="H76" s="38"/>
      <c r="I76" s="38"/>
      <c r="J76" s="38"/>
    </row>
    <row r="77" spans="2:10">
      <c r="B77" s="198"/>
      <c r="C77" s="38"/>
      <c r="D77" s="38"/>
      <c r="E77" s="38"/>
      <c r="F77" s="38"/>
      <c r="G77" s="38"/>
      <c r="H77" s="38"/>
      <c r="I77" s="38"/>
      <c r="J77" s="38"/>
    </row>
    <row r="78" spans="2:10">
      <c r="B78" s="198"/>
      <c r="C78" s="38"/>
      <c r="D78" s="38"/>
      <c r="E78" s="38"/>
      <c r="F78" s="38"/>
      <c r="G78" s="38"/>
      <c r="H78" s="38"/>
      <c r="I78" s="38"/>
      <c r="J78" s="38"/>
    </row>
    <row r="79" spans="2:10">
      <c r="B79" s="198"/>
      <c r="C79" s="38"/>
      <c r="D79" s="38"/>
      <c r="E79" s="38"/>
      <c r="F79" s="38"/>
      <c r="G79" s="38"/>
      <c r="H79" s="38"/>
      <c r="I79" s="38"/>
      <c r="J79" s="38"/>
    </row>
    <row r="80" spans="2:10">
      <c r="B80" s="198"/>
      <c r="C80" s="38"/>
      <c r="D80" s="38"/>
      <c r="E80" s="38"/>
      <c r="F80" s="38"/>
      <c r="G80" s="38"/>
      <c r="H80" s="38"/>
      <c r="I80" s="38"/>
      <c r="J80" s="38"/>
    </row>
    <row r="81" spans="2:11">
      <c r="B81" s="198"/>
      <c r="C81" s="38"/>
      <c r="D81" s="38"/>
      <c r="E81" s="38"/>
      <c r="F81" s="38"/>
      <c r="G81" s="38"/>
      <c r="H81" s="38"/>
      <c r="I81" s="38"/>
      <c r="J81" s="38"/>
    </row>
    <row r="82" spans="2:11">
      <c r="B82" s="198"/>
      <c r="C82" s="38"/>
      <c r="D82" s="38"/>
      <c r="E82" s="38"/>
      <c r="F82" s="38"/>
      <c r="G82" s="38"/>
      <c r="H82" s="38"/>
      <c r="I82" s="38"/>
      <c r="J82" s="38"/>
    </row>
    <row r="83" spans="2:11">
      <c r="B83" s="198"/>
      <c r="C83" s="38"/>
      <c r="D83" s="38"/>
      <c r="E83" s="38"/>
      <c r="F83" s="38"/>
      <c r="G83" s="38"/>
      <c r="H83" s="38"/>
      <c r="I83" s="38"/>
      <c r="J83" s="38"/>
      <c r="K83" s="38"/>
    </row>
    <row r="84" spans="2:11">
      <c r="B84" s="198"/>
      <c r="C84" s="38"/>
      <c r="D84" s="38"/>
      <c r="E84" s="38"/>
      <c r="F84" s="38"/>
      <c r="G84" s="38"/>
      <c r="H84" s="38"/>
      <c r="I84" s="38"/>
      <c r="J84" s="38"/>
      <c r="K84" s="38"/>
    </row>
    <row r="85" spans="2:11">
      <c r="B85" s="198"/>
      <c r="C85" s="38"/>
      <c r="D85" s="38"/>
      <c r="E85" s="38"/>
      <c r="F85" s="38"/>
      <c r="G85" s="38"/>
      <c r="H85" s="38"/>
      <c r="I85" s="38"/>
      <c r="J85" s="38"/>
      <c r="K85" s="38"/>
    </row>
    <row r="86" spans="2:11">
      <c r="B86" s="198"/>
      <c r="C86" s="38"/>
      <c r="D86" s="38"/>
      <c r="E86" s="38"/>
      <c r="F86" s="38"/>
      <c r="G86" s="38"/>
      <c r="H86" s="38"/>
      <c r="I86" s="38"/>
      <c r="J86" s="38"/>
      <c r="K86" s="38"/>
    </row>
    <row r="87" spans="2:11">
      <c r="B87" s="198"/>
      <c r="C87" s="38"/>
      <c r="D87" s="38"/>
      <c r="E87" s="38"/>
      <c r="F87" s="38"/>
      <c r="G87" s="38"/>
      <c r="H87" s="38"/>
      <c r="I87" s="38"/>
      <c r="J87" s="38"/>
      <c r="K87" s="38"/>
    </row>
    <row r="88" spans="2:11">
      <c r="B88" s="198"/>
      <c r="C88" s="38"/>
      <c r="D88" s="38"/>
      <c r="E88" s="38"/>
      <c r="F88" s="38"/>
      <c r="G88" s="38"/>
      <c r="H88" s="38"/>
      <c r="I88" s="38"/>
      <c r="J88" s="38"/>
      <c r="K88" s="38"/>
    </row>
    <row r="89" spans="2:11">
      <c r="B89" s="198"/>
      <c r="C89" s="38"/>
      <c r="D89" s="38"/>
      <c r="E89" s="38"/>
      <c r="F89" s="38"/>
      <c r="G89" s="38"/>
      <c r="H89" s="38"/>
      <c r="I89" s="38"/>
      <c r="J89" s="38"/>
      <c r="K89" s="38"/>
    </row>
    <row r="90" spans="2:11">
      <c r="B90" s="198"/>
      <c r="C90" s="38"/>
      <c r="D90" s="38"/>
      <c r="E90" s="38"/>
      <c r="F90" s="38"/>
      <c r="G90" s="38"/>
      <c r="H90" s="38"/>
      <c r="I90" s="38"/>
      <c r="J90" s="38"/>
      <c r="K90" s="38"/>
    </row>
    <row r="91" spans="2:11">
      <c r="B91" s="198"/>
      <c r="C91" s="38"/>
      <c r="D91" s="38"/>
      <c r="E91" s="38"/>
      <c r="F91" s="38"/>
      <c r="G91" s="38"/>
      <c r="H91" s="38"/>
      <c r="I91" s="38"/>
      <c r="J91" s="38"/>
      <c r="K91" s="38"/>
    </row>
    <row r="92" spans="2:11">
      <c r="B92" s="198"/>
      <c r="C92" s="38"/>
      <c r="D92" s="38"/>
      <c r="E92" s="38"/>
      <c r="F92" s="38"/>
      <c r="G92" s="38"/>
      <c r="H92" s="38"/>
      <c r="I92" s="38"/>
      <c r="J92" s="38"/>
      <c r="K92" s="38"/>
    </row>
    <row r="93" spans="2:11">
      <c r="B93" s="198"/>
      <c r="C93" s="38"/>
      <c r="D93" s="38"/>
      <c r="E93" s="38"/>
      <c r="F93" s="38"/>
      <c r="G93" s="38"/>
      <c r="H93" s="38"/>
      <c r="I93" s="38"/>
      <c r="J93" s="38"/>
      <c r="K93" s="38"/>
    </row>
    <row r="94" spans="2:11">
      <c r="B94" s="198"/>
      <c r="C94" s="38"/>
      <c r="D94" s="38"/>
      <c r="E94" s="38"/>
      <c r="F94" s="38"/>
      <c r="G94" s="38"/>
      <c r="H94" s="38"/>
      <c r="I94" s="38"/>
      <c r="J94" s="38"/>
      <c r="K94" s="38"/>
    </row>
    <row r="95" spans="2:11">
      <c r="B95" s="198"/>
      <c r="C95" s="38"/>
      <c r="D95" s="38"/>
      <c r="E95" s="38"/>
      <c r="F95" s="38"/>
      <c r="G95" s="38"/>
      <c r="H95" s="38"/>
      <c r="I95" s="38"/>
      <c r="J95" s="38"/>
      <c r="K95" s="38"/>
    </row>
    <row r="96" spans="2:11">
      <c r="B96" s="198"/>
      <c r="C96" s="38"/>
      <c r="D96" s="38"/>
      <c r="E96" s="38"/>
      <c r="F96" s="38"/>
      <c r="G96" s="38"/>
      <c r="H96" s="38"/>
      <c r="I96" s="38"/>
      <c r="J96" s="38"/>
      <c r="K96" s="38"/>
    </row>
    <row r="97" spans="2:11">
      <c r="B97" s="198"/>
      <c r="C97" s="38"/>
      <c r="D97" s="38"/>
      <c r="E97" s="38"/>
      <c r="F97" s="38"/>
      <c r="G97" s="38"/>
      <c r="H97" s="38"/>
      <c r="I97" s="38"/>
      <c r="J97" s="38"/>
      <c r="K97" s="38"/>
    </row>
    <row r="98" spans="2:11">
      <c r="B98" s="198"/>
      <c r="C98" s="38"/>
      <c r="D98" s="38"/>
      <c r="E98" s="38"/>
      <c r="F98" s="38"/>
      <c r="G98" s="38"/>
      <c r="H98" s="38"/>
      <c r="I98" s="38"/>
      <c r="J98" s="38"/>
      <c r="K98" s="38"/>
    </row>
    <row r="99" spans="2:11">
      <c r="B99" s="198"/>
      <c r="C99" s="38"/>
      <c r="D99" s="38"/>
      <c r="E99" s="38"/>
      <c r="F99" s="38"/>
      <c r="G99" s="38"/>
      <c r="H99" s="38"/>
      <c r="I99" s="38"/>
      <c r="J99" s="38"/>
      <c r="K99" s="38"/>
    </row>
    <row r="100" spans="2:11">
      <c r="B100" s="198"/>
      <c r="C100" s="38"/>
      <c r="D100" s="38"/>
      <c r="E100" s="38"/>
      <c r="F100" s="38"/>
      <c r="G100" s="38"/>
      <c r="H100" s="38"/>
      <c r="I100" s="38"/>
      <c r="J100" s="38"/>
      <c r="K100" s="38"/>
    </row>
    <row r="101" spans="2:11">
      <c r="B101" s="198"/>
      <c r="C101" s="38"/>
      <c r="D101" s="38"/>
      <c r="E101" s="38"/>
      <c r="F101" s="38"/>
      <c r="G101" s="38"/>
      <c r="H101" s="38"/>
      <c r="I101" s="38"/>
      <c r="J101" s="38"/>
      <c r="K101" s="38"/>
    </row>
    <row r="102" spans="2:11">
      <c r="B102" s="198"/>
      <c r="C102" s="38"/>
      <c r="D102" s="38"/>
      <c r="E102" s="38"/>
      <c r="F102" s="38"/>
      <c r="G102" s="38"/>
      <c r="H102" s="38"/>
      <c r="I102" s="38"/>
      <c r="J102" s="38"/>
      <c r="K102" s="38"/>
    </row>
    <row r="103" spans="2:11">
      <c r="B103" s="198"/>
      <c r="C103" s="38"/>
      <c r="D103" s="38"/>
      <c r="E103" s="38"/>
      <c r="F103" s="38"/>
      <c r="G103" s="38"/>
      <c r="H103" s="38"/>
      <c r="I103" s="38"/>
      <c r="J103" s="38"/>
      <c r="K103" s="38"/>
    </row>
    <row r="104" spans="2:11">
      <c r="B104" s="198"/>
      <c r="C104" s="38"/>
      <c r="D104" s="38"/>
      <c r="E104" s="38"/>
      <c r="F104" s="38"/>
      <c r="G104" s="38"/>
      <c r="H104" s="38"/>
      <c r="I104" s="38"/>
      <c r="J104" s="38"/>
      <c r="K104" s="38"/>
    </row>
    <row r="105" spans="2:11">
      <c r="B105" s="198"/>
      <c r="C105" s="38"/>
      <c r="D105" s="38"/>
      <c r="E105" s="38"/>
      <c r="F105" s="38"/>
      <c r="G105" s="38"/>
      <c r="H105" s="38"/>
      <c r="I105" s="38"/>
      <c r="J105" s="38"/>
      <c r="K105" s="38"/>
    </row>
    <row r="106" spans="2:11">
      <c r="B106" s="198"/>
      <c r="C106" s="38"/>
      <c r="D106" s="38"/>
      <c r="E106" s="38"/>
      <c r="F106" s="38"/>
      <c r="G106" s="38"/>
      <c r="H106" s="38"/>
      <c r="I106" s="38"/>
      <c r="J106" s="38"/>
      <c r="K106" s="38"/>
    </row>
    <row r="107" spans="2:11">
      <c r="B107" s="198"/>
      <c r="C107" s="38"/>
      <c r="D107" s="38"/>
      <c r="E107" s="38"/>
      <c r="F107" s="38"/>
      <c r="G107" s="38"/>
      <c r="H107" s="38"/>
      <c r="I107" s="38"/>
      <c r="J107" s="38"/>
      <c r="K107" s="38"/>
    </row>
    <row r="108" spans="2:11">
      <c r="B108" s="198"/>
      <c r="C108" s="38"/>
      <c r="D108" s="38"/>
      <c r="E108" s="38"/>
      <c r="F108" s="38"/>
      <c r="G108" s="38"/>
      <c r="H108" s="38"/>
      <c r="I108" s="38"/>
      <c r="J108" s="38"/>
      <c r="K108" s="38"/>
    </row>
    <row r="109" spans="2:11">
      <c r="B109" s="198"/>
      <c r="C109" s="38"/>
      <c r="D109" s="38"/>
      <c r="E109" s="38"/>
      <c r="F109" s="38"/>
      <c r="G109" s="38"/>
      <c r="H109" s="38"/>
      <c r="I109" s="38"/>
      <c r="J109" s="38"/>
      <c r="K109" s="38"/>
    </row>
    <row r="110" spans="2:11">
      <c r="B110" s="198"/>
      <c r="C110" s="38"/>
      <c r="D110" s="38"/>
      <c r="E110" s="38"/>
      <c r="F110" s="38"/>
      <c r="G110" s="38"/>
      <c r="H110" s="38"/>
      <c r="I110" s="38"/>
      <c r="J110" s="38"/>
      <c r="K110" s="38"/>
    </row>
    <row r="111" spans="2:11">
      <c r="B111" s="198"/>
      <c r="C111" s="38"/>
      <c r="D111" s="38"/>
      <c r="E111" s="38"/>
      <c r="F111" s="38"/>
      <c r="G111" s="38"/>
      <c r="H111" s="38"/>
      <c r="I111" s="38"/>
      <c r="J111" s="38"/>
      <c r="K111" s="38"/>
    </row>
    <row r="112" spans="2:11">
      <c r="B112" s="198"/>
      <c r="C112" s="38"/>
      <c r="D112" s="38"/>
      <c r="E112" s="38"/>
      <c r="F112" s="38"/>
      <c r="G112" s="38"/>
      <c r="H112" s="38"/>
      <c r="I112" s="38"/>
      <c r="J112" s="38"/>
      <c r="K112" s="38"/>
    </row>
    <row r="113" spans="2:11">
      <c r="B113" s="198"/>
      <c r="C113" s="38"/>
      <c r="D113" s="38"/>
      <c r="E113" s="38"/>
      <c r="F113" s="38"/>
      <c r="G113" s="38"/>
      <c r="H113" s="38"/>
      <c r="I113" s="38"/>
      <c r="J113" s="38"/>
      <c r="K113" s="38"/>
    </row>
    <row r="114" spans="2:11">
      <c r="B114" s="198"/>
      <c r="C114" s="38"/>
      <c r="D114" s="38"/>
      <c r="E114" s="38"/>
      <c r="F114" s="38"/>
      <c r="G114" s="38"/>
      <c r="H114" s="38"/>
      <c r="I114" s="38"/>
      <c r="J114" s="38"/>
      <c r="K114" s="38"/>
    </row>
    <row r="115" spans="2:11">
      <c r="B115" s="198"/>
      <c r="C115" s="38"/>
      <c r="D115" s="38"/>
      <c r="E115" s="38"/>
      <c r="F115" s="38"/>
      <c r="G115" s="38"/>
      <c r="H115" s="38"/>
      <c r="I115" s="38"/>
      <c r="J115" s="38"/>
      <c r="K115" s="38"/>
    </row>
    <row r="116" spans="2:11">
      <c r="B116" s="198"/>
      <c r="C116" s="38"/>
      <c r="D116" s="38"/>
      <c r="E116" s="38"/>
      <c r="F116" s="38"/>
      <c r="G116" s="38"/>
      <c r="H116" s="38"/>
      <c r="I116" s="38"/>
      <c r="J116" s="38"/>
      <c r="K116" s="38"/>
    </row>
    <row r="117" spans="2:11">
      <c r="B117" s="198"/>
      <c r="C117" s="38"/>
      <c r="D117" s="38"/>
      <c r="E117" s="38"/>
      <c r="F117" s="38"/>
      <c r="G117" s="38"/>
      <c r="H117" s="38"/>
      <c r="I117" s="38"/>
      <c r="J117" s="38"/>
      <c r="K117" s="38"/>
    </row>
    <row r="118" spans="2:11">
      <c r="B118" s="198"/>
      <c r="C118" s="38"/>
      <c r="D118" s="38"/>
      <c r="E118" s="38"/>
      <c r="F118" s="38"/>
      <c r="G118" s="38"/>
      <c r="H118" s="38"/>
      <c r="I118" s="38"/>
      <c r="J118" s="38"/>
      <c r="K118" s="38"/>
    </row>
    <row r="119" spans="2:11">
      <c r="B119" s="198"/>
      <c r="C119" s="38"/>
      <c r="D119" s="38"/>
      <c r="E119" s="38"/>
      <c r="F119" s="38"/>
      <c r="G119" s="38"/>
      <c r="H119" s="38"/>
      <c r="I119" s="38"/>
      <c r="J119" s="38"/>
      <c r="K119" s="38"/>
    </row>
    <row r="120" spans="2:11">
      <c r="B120" s="198"/>
      <c r="C120" s="38"/>
      <c r="D120" s="38"/>
      <c r="E120" s="38"/>
      <c r="F120" s="38"/>
      <c r="G120" s="38"/>
      <c r="H120" s="38"/>
      <c r="I120" s="38"/>
      <c r="J120" s="38"/>
      <c r="K120" s="38"/>
    </row>
    <row r="121" spans="2:11">
      <c r="B121" s="198"/>
      <c r="C121" s="38"/>
      <c r="D121" s="38"/>
      <c r="E121" s="38"/>
      <c r="F121" s="38"/>
      <c r="G121" s="38"/>
      <c r="H121" s="38"/>
      <c r="I121" s="38"/>
      <c r="J121" s="38"/>
      <c r="K121" s="38"/>
    </row>
    <row r="122" spans="2:11">
      <c r="B122" s="198"/>
      <c r="C122" s="38"/>
      <c r="D122" s="38"/>
      <c r="E122" s="38"/>
      <c r="F122" s="38"/>
      <c r="G122" s="38"/>
      <c r="H122" s="38"/>
      <c r="I122" s="38"/>
      <c r="J122" s="38"/>
      <c r="K122" s="38"/>
    </row>
    <row r="123" spans="2:11">
      <c r="B123" s="198"/>
      <c r="C123" s="38"/>
      <c r="D123" s="38"/>
      <c r="E123" s="38"/>
      <c r="F123" s="38"/>
      <c r="G123" s="38"/>
      <c r="H123" s="38"/>
      <c r="I123" s="38"/>
      <c r="J123" s="38"/>
      <c r="K123" s="38"/>
    </row>
    <row r="124" spans="2:11">
      <c r="B124" s="198"/>
      <c r="C124" s="38"/>
      <c r="D124" s="38"/>
      <c r="E124" s="38"/>
      <c r="F124" s="38"/>
      <c r="G124" s="38"/>
      <c r="H124" s="38"/>
      <c r="I124" s="38"/>
      <c r="J124" s="38"/>
      <c r="K124" s="38"/>
    </row>
    <row r="125" spans="2:11">
      <c r="B125" s="198"/>
      <c r="C125" s="38"/>
      <c r="D125" s="38"/>
      <c r="E125" s="38"/>
      <c r="F125" s="38"/>
      <c r="G125" s="38"/>
      <c r="H125" s="38"/>
      <c r="I125" s="38"/>
      <c r="J125" s="38"/>
      <c r="K125" s="38"/>
    </row>
    <row r="126" spans="2:11">
      <c r="B126" s="198"/>
      <c r="C126" s="38"/>
      <c r="D126" s="38"/>
      <c r="E126" s="38"/>
      <c r="F126" s="38"/>
      <c r="G126" s="38"/>
      <c r="H126" s="38"/>
      <c r="I126" s="38"/>
      <c r="J126" s="38"/>
      <c r="K126" s="38"/>
    </row>
    <row r="127" spans="2:11">
      <c r="B127" s="198"/>
      <c r="C127" s="38"/>
      <c r="D127" s="38"/>
      <c r="E127" s="38"/>
      <c r="F127" s="38"/>
      <c r="G127" s="38"/>
      <c r="H127" s="38"/>
      <c r="I127" s="38"/>
      <c r="J127" s="38"/>
      <c r="K127" s="38"/>
    </row>
    <row r="128" spans="2:11">
      <c r="B128" s="198"/>
      <c r="C128" s="38"/>
      <c r="D128" s="38"/>
      <c r="E128" s="38"/>
      <c r="F128" s="38"/>
      <c r="G128" s="38"/>
      <c r="H128" s="38"/>
      <c r="I128" s="38"/>
      <c r="J128" s="38"/>
      <c r="K128" s="38"/>
    </row>
    <row r="129" spans="2:11">
      <c r="B129" s="198"/>
      <c r="C129" s="38"/>
      <c r="D129" s="38"/>
      <c r="E129" s="38"/>
      <c r="F129" s="38"/>
      <c r="G129" s="38"/>
      <c r="H129" s="38"/>
      <c r="I129" s="38"/>
      <c r="J129" s="38"/>
      <c r="K129" s="38"/>
    </row>
    <row r="130" spans="2:11">
      <c r="B130" s="198"/>
      <c r="C130" s="38"/>
      <c r="D130" s="38"/>
      <c r="E130" s="38"/>
      <c r="F130" s="38"/>
      <c r="G130" s="38"/>
      <c r="H130" s="38"/>
      <c r="I130" s="38"/>
      <c r="J130" s="38"/>
      <c r="K130" s="38"/>
    </row>
    <row r="131" spans="2:11">
      <c r="B131" s="198"/>
      <c r="C131" s="38"/>
      <c r="D131" s="38"/>
      <c r="E131" s="38"/>
      <c r="F131" s="38"/>
      <c r="G131" s="38"/>
      <c r="H131" s="38"/>
      <c r="I131" s="38"/>
      <c r="J131" s="38"/>
      <c r="K131" s="38"/>
    </row>
    <row r="132" spans="2:11">
      <c r="B132" s="198"/>
      <c r="C132" s="38"/>
      <c r="D132" s="38"/>
      <c r="E132" s="38"/>
      <c r="F132" s="38"/>
      <c r="G132" s="38"/>
      <c r="H132" s="38"/>
      <c r="I132" s="38"/>
      <c r="J132" s="38"/>
      <c r="K132" s="38"/>
    </row>
    <row r="133" spans="2:11">
      <c r="B133" s="198"/>
      <c r="C133" s="38"/>
      <c r="D133" s="38"/>
      <c r="E133" s="38"/>
      <c r="F133" s="38"/>
      <c r="G133" s="38"/>
      <c r="H133" s="38"/>
      <c r="I133" s="38"/>
      <c r="J133" s="38"/>
      <c r="K133" s="38"/>
    </row>
    <row r="134" spans="2:11">
      <c r="B134" s="198"/>
      <c r="C134" s="38"/>
      <c r="D134" s="38"/>
      <c r="E134" s="38"/>
      <c r="F134" s="38"/>
      <c r="G134" s="38"/>
      <c r="H134" s="38"/>
      <c r="I134" s="38"/>
      <c r="J134" s="38"/>
      <c r="K134" s="38"/>
    </row>
    <row r="135" spans="2:11">
      <c r="B135" s="198"/>
      <c r="C135" s="38"/>
      <c r="D135" s="38"/>
      <c r="E135" s="38"/>
      <c r="F135" s="38"/>
      <c r="G135" s="38"/>
      <c r="H135" s="38"/>
      <c r="I135" s="38"/>
      <c r="J135" s="38"/>
      <c r="K135" s="38"/>
    </row>
    <row r="136" spans="2:11">
      <c r="B136" s="198"/>
      <c r="C136" s="38"/>
      <c r="D136" s="38"/>
      <c r="E136" s="38"/>
      <c r="F136" s="38"/>
      <c r="G136" s="38"/>
      <c r="H136" s="38"/>
      <c r="I136" s="38"/>
      <c r="J136" s="38"/>
      <c r="K136" s="38"/>
    </row>
    <row r="137" spans="2:11">
      <c r="B137" s="198"/>
      <c r="C137" s="38"/>
      <c r="D137" s="38"/>
      <c r="E137" s="38"/>
      <c r="F137" s="38"/>
      <c r="G137" s="38"/>
      <c r="H137" s="38"/>
      <c r="I137" s="38"/>
      <c r="J137" s="38"/>
      <c r="K137" s="38"/>
    </row>
    <row r="138" spans="2:11">
      <c r="B138" s="198"/>
      <c r="C138" s="38"/>
      <c r="D138" s="38"/>
      <c r="E138" s="38"/>
      <c r="F138" s="38"/>
      <c r="G138" s="38"/>
      <c r="H138" s="38"/>
      <c r="I138" s="38"/>
      <c r="J138" s="38"/>
      <c r="K138" s="38"/>
    </row>
    <row r="139" spans="2:11">
      <c r="B139" s="198"/>
      <c r="C139" s="38"/>
      <c r="D139" s="38"/>
      <c r="E139" s="38"/>
      <c r="F139" s="38"/>
      <c r="G139" s="38"/>
      <c r="H139" s="38"/>
      <c r="I139" s="38"/>
      <c r="J139" s="38"/>
      <c r="K139" s="38"/>
    </row>
    <row r="140" spans="2:11">
      <c r="B140" s="198"/>
      <c r="C140" s="38"/>
      <c r="D140" s="38"/>
      <c r="E140" s="38"/>
      <c r="F140" s="38"/>
      <c r="G140" s="38"/>
      <c r="H140" s="38"/>
      <c r="I140" s="38"/>
      <c r="J140" s="38"/>
      <c r="K140" s="38"/>
    </row>
    <row r="141" spans="2:11">
      <c r="B141" s="198"/>
      <c r="C141" s="38"/>
      <c r="D141" s="38"/>
      <c r="E141" s="38"/>
      <c r="F141" s="38"/>
      <c r="G141" s="38"/>
      <c r="H141" s="38"/>
      <c r="I141" s="38"/>
      <c r="J141" s="38"/>
      <c r="K141" s="38"/>
    </row>
    <row r="142" spans="2:11">
      <c r="B142" s="198"/>
      <c r="C142" s="38"/>
      <c r="D142" s="38"/>
      <c r="E142" s="38"/>
      <c r="F142" s="38"/>
      <c r="G142" s="38"/>
      <c r="H142" s="38"/>
      <c r="I142" s="38"/>
      <c r="J142" s="38"/>
      <c r="K142" s="38"/>
    </row>
    <row r="143" spans="2:11">
      <c r="B143" s="198"/>
      <c r="C143" s="38"/>
      <c r="D143" s="38"/>
      <c r="E143" s="38"/>
      <c r="F143" s="38"/>
      <c r="G143" s="38"/>
      <c r="H143" s="38"/>
      <c r="I143" s="38"/>
      <c r="J143" s="38"/>
      <c r="K143" s="38"/>
    </row>
    <row r="144" spans="2:11">
      <c r="B144" s="198"/>
      <c r="C144" s="38"/>
      <c r="D144" s="38"/>
      <c r="E144" s="38"/>
      <c r="F144" s="38"/>
      <c r="G144" s="38"/>
      <c r="H144" s="38"/>
      <c r="I144" s="38"/>
      <c r="J144" s="38"/>
      <c r="K144" s="38"/>
    </row>
    <row r="145" spans="2:11">
      <c r="B145" s="198"/>
      <c r="C145" s="38"/>
      <c r="D145" s="38"/>
      <c r="E145" s="38"/>
      <c r="F145" s="38"/>
      <c r="G145" s="38"/>
      <c r="H145" s="38"/>
      <c r="I145" s="38"/>
      <c r="J145" s="38"/>
      <c r="K145" s="38"/>
    </row>
    <row r="146" spans="2:11">
      <c r="B146" s="198"/>
      <c r="C146" s="38"/>
      <c r="D146" s="38"/>
      <c r="E146" s="38"/>
      <c r="F146" s="38"/>
      <c r="G146" s="38"/>
      <c r="H146" s="38"/>
      <c r="I146" s="38"/>
      <c r="J146" s="38"/>
      <c r="K146" s="38"/>
    </row>
    <row r="147" spans="2:11">
      <c r="B147" s="198"/>
      <c r="C147" s="38"/>
      <c r="D147" s="38"/>
      <c r="E147" s="38"/>
      <c r="F147" s="38"/>
      <c r="G147" s="38"/>
      <c r="H147" s="38"/>
      <c r="I147" s="38"/>
      <c r="J147" s="38"/>
      <c r="K147" s="38"/>
    </row>
    <row r="148" spans="2:11">
      <c r="B148" s="198"/>
      <c r="C148" s="38"/>
      <c r="D148" s="38"/>
      <c r="E148" s="38"/>
      <c r="F148" s="38"/>
      <c r="G148" s="38"/>
      <c r="H148" s="38"/>
      <c r="I148" s="38"/>
      <c r="J148" s="38"/>
      <c r="K148" s="38"/>
    </row>
    <row r="149" spans="2:11">
      <c r="B149" s="198"/>
      <c r="C149" s="38"/>
      <c r="D149" s="38"/>
      <c r="E149" s="38"/>
      <c r="F149" s="38"/>
      <c r="G149" s="38"/>
      <c r="H149" s="38"/>
      <c r="I149" s="38"/>
      <c r="J149" s="38"/>
      <c r="K149" s="38"/>
    </row>
    <row r="150" spans="2:11">
      <c r="B150" s="198"/>
      <c r="C150" s="38"/>
      <c r="D150" s="38"/>
      <c r="E150" s="38"/>
      <c r="F150" s="38"/>
      <c r="G150" s="38"/>
      <c r="H150" s="38"/>
      <c r="I150" s="38"/>
      <c r="J150" s="38"/>
      <c r="K150" s="38"/>
    </row>
    <row r="151" spans="2:11">
      <c r="B151" s="198"/>
      <c r="C151" s="38"/>
      <c r="D151" s="38"/>
      <c r="E151" s="38"/>
      <c r="F151" s="38"/>
      <c r="G151" s="38"/>
      <c r="H151" s="38"/>
      <c r="I151" s="38"/>
      <c r="J151" s="38"/>
      <c r="K151" s="38"/>
    </row>
    <row r="152" spans="2:11">
      <c r="B152" s="198"/>
      <c r="C152" s="38"/>
      <c r="D152" s="38"/>
      <c r="E152" s="38"/>
      <c r="F152" s="38"/>
      <c r="G152" s="38"/>
      <c r="H152" s="38"/>
      <c r="I152" s="38"/>
      <c r="J152" s="38"/>
      <c r="K152" s="38"/>
    </row>
    <row r="153" spans="2:11">
      <c r="B153" s="198"/>
      <c r="C153" s="38"/>
      <c r="D153" s="38"/>
      <c r="E153" s="38"/>
      <c r="F153" s="38"/>
      <c r="G153" s="38"/>
      <c r="H153" s="38"/>
      <c r="I153" s="38"/>
      <c r="J153" s="38"/>
      <c r="K153" s="38"/>
    </row>
    <row r="154" spans="2:11">
      <c r="B154" s="198"/>
      <c r="C154" s="38"/>
      <c r="D154" s="38"/>
      <c r="E154" s="38"/>
      <c r="F154" s="38"/>
      <c r="G154" s="38"/>
      <c r="H154" s="38"/>
      <c r="I154" s="38"/>
      <c r="J154" s="38"/>
      <c r="K154" s="38"/>
    </row>
    <row r="155" spans="2:11">
      <c r="B155" s="198"/>
      <c r="C155" s="38"/>
      <c r="D155" s="38"/>
      <c r="E155" s="38"/>
      <c r="F155" s="38"/>
      <c r="G155" s="38"/>
      <c r="H155" s="38"/>
      <c r="I155" s="38"/>
      <c r="J155" s="38"/>
      <c r="K155" s="38"/>
    </row>
    <row r="156" spans="2:11">
      <c r="B156" s="198"/>
      <c r="C156" s="38"/>
      <c r="D156" s="38"/>
      <c r="E156" s="38"/>
      <c r="F156" s="38"/>
      <c r="G156" s="38"/>
      <c r="H156" s="38"/>
      <c r="I156" s="38"/>
      <c r="J156" s="38"/>
      <c r="K156" s="38"/>
    </row>
    <row r="157" spans="2:11">
      <c r="B157" s="198"/>
      <c r="C157" s="38"/>
      <c r="D157" s="38"/>
      <c r="E157" s="38"/>
      <c r="F157" s="38"/>
      <c r="G157" s="38"/>
      <c r="H157" s="38"/>
      <c r="I157" s="38"/>
      <c r="J157" s="38"/>
      <c r="K157" s="38"/>
    </row>
    <row r="158" spans="2:11">
      <c r="B158" s="198"/>
      <c r="C158" s="38"/>
      <c r="D158" s="38"/>
      <c r="E158" s="38"/>
      <c r="F158" s="38"/>
      <c r="G158" s="38"/>
      <c r="H158" s="38"/>
      <c r="I158" s="38"/>
      <c r="J158" s="38"/>
      <c r="K158" s="38"/>
    </row>
    <row r="159" spans="2:11">
      <c r="B159" s="198"/>
      <c r="C159" s="38"/>
      <c r="D159" s="38"/>
      <c r="E159" s="38"/>
      <c r="F159" s="38"/>
      <c r="G159" s="38"/>
      <c r="H159" s="38"/>
      <c r="I159" s="38"/>
      <c r="J159" s="38"/>
      <c r="K159" s="38"/>
    </row>
    <row r="160" spans="2:11">
      <c r="B160" s="198"/>
      <c r="C160" s="38"/>
      <c r="D160" s="38"/>
      <c r="E160" s="38"/>
      <c r="F160" s="38"/>
      <c r="G160" s="38"/>
      <c r="H160" s="38"/>
      <c r="I160" s="38"/>
      <c r="J160" s="38"/>
      <c r="K160" s="38"/>
    </row>
    <row r="161" spans="2:11">
      <c r="B161" s="198"/>
      <c r="C161" s="38"/>
      <c r="D161" s="38"/>
      <c r="E161" s="38"/>
      <c r="F161" s="38"/>
      <c r="G161" s="38"/>
      <c r="H161" s="38"/>
      <c r="I161" s="38"/>
      <c r="J161" s="38"/>
      <c r="K161" s="38"/>
    </row>
    <row r="162" spans="2:11">
      <c r="B162" s="198"/>
      <c r="C162" s="38"/>
      <c r="D162" s="38"/>
      <c r="E162" s="38"/>
      <c r="F162" s="38"/>
      <c r="G162" s="38"/>
      <c r="H162" s="38"/>
      <c r="I162" s="38"/>
      <c r="J162" s="38"/>
      <c r="K162" s="38"/>
    </row>
    <row r="163" spans="2:11">
      <c r="B163" s="198"/>
      <c r="C163" s="38"/>
      <c r="D163" s="38"/>
      <c r="E163" s="38"/>
      <c r="F163" s="38"/>
      <c r="G163" s="38"/>
      <c r="H163" s="38"/>
      <c r="I163" s="38"/>
      <c r="J163" s="38"/>
      <c r="K163" s="38"/>
    </row>
    <row r="164" spans="2:11">
      <c r="B164" s="198"/>
      <c r="C164" s="38"/>
      <c r="D164" s="38"/>
      <c r="E164" s="38"/>
      <c r="F164" s="38"/>
      <c r="G164" s="38"/>
      <c r="H164" s="38"/>
      <c r="I164" s="38"/>
      <c r="J164" s="38"/>
      <c r="K164" s="38"/>
    </row>
    <row r="165" spans="2:11">
      <c r="B165" s="198"/>
      <c r="C165" s="38"/>
      <c r="D165" s="38"/>
      <c r="E165" s="38"/>
      <c r="F165" s="38"/>
      <c r="G165" s="38"/>
      <c r="H165" s="38"/>
      <c r="I165" s="38"/>
      <c r="J165" s="38"/>
      <c r="K165" s="38"/>
    </row>
    <row r="166" spans="2:11">
      <c r="B166" s="198"/>
      <c r="C166" s="38"/>
      <c r="D166" s="38"/>
      <c r="E166" s="38"/>
      <c r="F166" s="38"/>
      <c r="G166" s="38"/>
      <c r="H166" s="38"/>
      <c r="I166" s="38"/>
      <c r="J166" s="38"/>
      <c r="K166" s="38"/>
    </row>
    <row r="167" spans="2:11">
      <c r="B167" s="198"/>
      <c r="C167" s="38"/>
      <c r="D167" s="38"/>
      <c r="E167" s="38"/>
      <c r="F167" s="38"/>
      <c r="G167" s="38"/>
      <c r="H167" s="38"/>
      <c r="I167" s="38"/>
      <c r="J167" s="38"/>
      <c r="K167" s="38"/>
    </row>
    <row r="168" spans="2:11">
      <c r="B168" s="198"/>
      <c r="C168" s="38"/>
      <c r="D168" s="38"/>
      <c r="E168" s="38"/>
      <c r="F168" s="38"/>
      <c r="G168" s="38"/>
      <c r="H168" s="38"/>
      <c r="I168" s="38"/>
      <c r="J168" s="38"/>
      <c r="K168" s="38"/>
    </row>
    <row r="169" spans="2:11">
      <c r="B169" s="198"/>
      <c r="C169" s="38"/>
      <c r="D169" s="38"/>
      <c r="E169" s="38"/>
      <c r="F169" s="38"/>
      <c r="G169" s="38"/>
      <c r="H169" s="38"/>
      <c r="I169" s="38"/>
      <c r="J169" s="38"/>
      <c r="K169" s="38"/>
    </row>
    <row r="170" spans="2:11">
      <c r="B170" s="198"/>
      <c r="C170" s="38"/>
      <c r="D170" s="38"/>
      <c r="E170" s="38"/>
      <c r="F170" s="38"/>
      <c r="G170" s="38"/>
      <c r="H170" s="38"/>
      <c r="I170" s="38"/>
      <c r="J170" s="38"/>
      <c r="K170" s="38"/>
    </row>
    <row r="171" spans="2:11">
      <c r="B171" s="198"/>
      <c r="C171" s="38"/>
      <c r="D171" s="38"/>
      <c r="E171" s="38"/>
      <c r="F171" s="38"/>
      <c r="G171" s="38"/>
      <c r="H171" s="38"/>
      <c r="I171" s="38"/>
      <c r="J171" s="38"/>
      <c r="K171" s="38"/>
    </row>
    <row r="172" spans="2:11">
      <c r="B172" s="198"/>
      <c r="C172" s="38"/>
      <c r="D172" s="38"/>
      <c r="E172" s="38"/>
      <c r="F172" s="38"/>
      <c r="G172" s="38"/>
      <c r="H172" s="38"/>
      <c r="I172" s="38"/>
      <c r="J172" s="38"/>
      <c r="K172" s="38"/>
    </row>
    <row r="173" spans="2:11">
      <c r="B173" s="198"/>
      <c r="C173" s="38"/>
      <c r="D173" s="38"/>
      <c r="E173" s="38"/>
      <c r="F173" s="38"/>
      <c r="G173" s="38"/>
      <c r="H173" s="38"/>
      <c r="I173" s="38"/>
      <c r="J173" s="38"/>
      <c r="K173" s="38"/>
    </row>
    <row r="174" spans="2:11">
      <c r="B174" s="198"/>
      <c r="C174" s="38"/>
      <c r="D174" s="38"/>
      <c r="E174" s="38"/>
      <c r="F174" s="38"/>
      <c r="G174" s="38"/>
      <c r="H174" s="38"/>
      <c r="I174" s="38"/>
      <c r="J174" s="38"/>
      <c r="K174" s="38"/>
    </row>
    <row r="175" spans="2:11">
      <c r="B175" s="198"/>
      <c r="C175" s="38"/>
      <c r="D175" s="38"/>
      <c r="E175" s="38"/>
      <c r="F175" s="38"/>
      <c r="G175" s="38"/>
      <c r="H175" s="38"/>
      <c r="I175" s="38"/>
      <c r="J175" s="38"/>
      <c r="K175" s="38"/>
    </row>
    <row r="176" spans="2:11">
      <c r="B176" s="198"/>
      <c r="C176" s="38"/>
      <c r="D176" s="38"/>
      <c r="E176" s="38"/>
      <c r="F176" s="38"/>
      <c r="G176" s="38"/>
      <c r="H176" s="38"/>
      <c r="I176" s="38"/>
      <c r="J176" s="38"/>
      <c r="K176" s="38"/>
    </row>
    <row r="177" spans="2:11">
      <c r="B177" s="198"/>
      <c r="C177" s="38"/>
      <c r="D177" s="38"/>
      <c r="E177" s="38"/>
      <c r="F177" s="38"/>
      <c r="G177" s="38"/>
      <c r="H177" s="38"/>
      <c r="I177" s="38"/>
      <c r="J177" s="38"/>
      <c r="K177" s="38"/>
    </row>
    <row r="178" spans="2:11">
      <c r="B178" s="198"/>
      <c r="C178" s="38"/>
      <c r="D178" s="38"/>
      <c r="E178" s="38"/>
      <c r="F178" s="38"/>
      <c r="G178" s="38"/>
      <c r="H178" s="38"/>
      <c r="I178" s="38"/>
      <c r="J178" s="38"/>
      <c r="K178" s="38"/>
    </row>
    <row r="179" spans="2:11">
      <c r="B179" s="198"/>
      <c r="C179" s="38"/>
      <c r="D179" s="38"/>
      <c r="E179" s="38"/>
      <c r="F179" s="38"/>
      <c r="G179" s="38"/>
      <c r="H179" s="38"/>
      <c r="I179" s="38"/>
      <c r="J179" s="38"/>
      <c r="K179" s="38"/>
    </row>
    <row r="180" spans="2:11">
      <c r="B180" s="198"/>
      <c r="C180" s="38"/>
      <c r="D180" s="38"/>
      <c r="E180" s="38"/>
      <c r="F180" s="38"/>
      <c r="G180" s="38"/>
      <c r="H180" s="38"/>
      <c r="I180" s="38"/>
      <c r="J180" s="38"/>
      <c r="K180" s="38"/>
    </row>
    <row r="181" spans="2:11">
      <c r="B181" s="198"/>
      <c r="C181" s="38"/>
      <c r="D181" s="38"/>
      <c r="E181" s="38"/>
      <c r="F181" s="38"/>
      <c r="G181" s="38"/>
      <c r="H181" s="38"/>
      <c r="I181" s="38"/>
      <c r="J181" s="38"/>
      <c r="K181" s="38"/>
    </row>
    <row r="182" spans="2:11">
      <c r="B182" s="198"/>
      <c r="C182" s="38"/>
      <c r="D182" s="38"/>
      <c r="E182" s="38"/>
      <c r="F182" s="38"/>
      <c r="G182" s="38"/>
      <c r="H182" s="38"/>
      <c r="I182" s="38"/>
      <c r="J182" s="38"/>
      <c r="K182" s="38"/>
    </row>
    <row r="183" spans="2:11">
      <c r="B183" s="198"/>
      <c r="C183" s="38"/>
      <c r="D183" s="38"/>
      <c r="E183" s="38"/>
      <c r="F183" s="38"/>
      <c r="G183" s="38"/>
      <c r="H183" s="38"/>
      <c r="I183" s="38"/>
      <c r="J183" s="38"/>
      <c r="K183" s="38"/>
    </row>
    <row r="184" spans="2:11">
      <c r="B184" s="198"/>
      <c r="C184" s="38"/>
      <c r="D184" s="38"/>
      <c r="E184" s="38"/>
      <c r="F184" s="38"/>
      <c r="G184" s="38"/>
      <c r="H184" s="38"/>
      <c r="I184" s="38"/>
      <c r="J184" s="38"/>
      <c r="K184" s="38"/>
    </row>
    <row r="185" spans="2:11">
      <c r="B185" s="198"/>
      <c r="C185" s="38"/>
      <c r="D185" s="38"/>
      <c r="E185" s="38"/>
      <c r="F185" s="38"/>
      <c r="G185" s="38"/>
      <c r="H185" s="38"/>
      <c r="I185" s="38"/>
      <c r="J185" s="38"/>
      <c r="K185" s="38"/>
    </row>
    <row r="186" spans="2:11">
      <c r="B186" s="198"/>
      <c r="C186" s="38"/>
      <c r="D186" s="38"/>
      <c r="E186" s="38"/>
      <c r="F186" s="38"/>
      <c r="G186" s="38"/>
      <c r="H186" s="38"/>
      <c r="I186" s="38"/>
      <c r="J186" s="38"/>
      <c r="K186" s="38"/>
    </row>
    <row r="187" spans="2:11">
      <c r="B187" s="198"/>
      <c r="C187" s="38"/>
      <c r="D187" s="38"/>
      <c r="E187" s="38"/>
      <c r="F187" s="38"/>
      <c r="G187" s="38"/>
      <c r="H187" s="38"/>
      <c r="I187" s="38"/>
      <c r="J187" s="38"/>
      <c r="K187" s="38"/>
    </row>
    <row r="188" spans="2:11">
      <c r="B188" s="198"/>
      <c r="C188" s="38"/>
      <c r="D188" s="38"/>
      <c r="E188" s="38"/>
      <c r="F188" s="38"/>
      <c r="G188" s="38"/>
      <c r="H188" s="38"/>
      <c r="I188" s="38"/>
      <c r="J188" s="38"/>
      <c r="K188" s="38"/>
    </row>
    <row r="189" spans="2:11">
      <c r="B189" s="198"/>
      <c r="C189" s="38"/>
      <c r="D189" s="38"/>
      <c r="E189" s="38"/>
      <c r="F189" s="38"/>
      <c r="G189" s="38"/>
      <c r="H189" s="38"/>
      <c r="I189" s="38"/>
      <c r="J189" s="38"/>
      <c r="K189" s="38"/>
    </row>
    <row r="190" spans="2:11">
      <c r="B190" s="198"/>
      <c r="C190" s="38"/>
      <c r="D190" s="38"/>
      <c r="E190" s="38"/>
      <c r="F190" s="38"/>
      <c r="G190" s="38"/>
      <c r="H190" s="38"/>
      <c r="I190" s="38"/>
      <c r="J190" s="38"/>
      <c r="K190" s="38"/>
    </row>
    <row r="191" spans="2:11">
      <c r="B191" s="198"/>
      <c r="C191" s="38"/>
      <c r="D191" s="38"/>
      <c r="E191" s="38"/>
      <c r="F191" s="38"/>
      <c r="G191" s="38"/>
      <c r="H191" s="38"/>
      <c r="I191" s="38"/>
      <c r="J191" s="38"/>
      <c r="K191" s="38"/>
    </row>
    <row r="192" spans="2:11">
      <c r="B192" s="198"/>
      <c r="C192" s="38"/>
      <c r="D192" s="38"/>
      <c r="E192" s="38"/>
      <c r="F192" s="38"/>
      <c r="G192" s="38"/>
      <c r="H192" s="38"/>
      <c r="I192" s="38"/>
      <c r="J192" s="38"/>
      <c r="K192" s="38"/>
    </row>
    <row r="193" spans="2:11">
      <c r="B193" s="198"/>
      <c r="C193" s="38"/>
      <c r="D193" s="38"/>
      <c r="E193" s="38"/>
      <c r="F193" s="38"/>
      <c r="G193" s="38"/>
      <c r="H193" s="38"/>
      <c r="I193" s="38"/>
      <c r="J193" s="38"/>
      <c r="K193" s="38"/>
    </row>
    <row r="194" spans="2:11">
      <c r="B194" s="198"/>
      <c r="C194" s="38"/>
      <c r="D194" s="38"/>
      <c r="E194" s="38"/>
      <c r="F194" s="38"/>
      <c r="G194" s="38"/>
      <c r="H194" s="38"/>
      <c r="I194" s="38"/>
      <c r="J194" s="38"/>
      <c r="K194" s="38"/>
    </row>
    <row r="195" spans="2:11">
      <c r="B195" s="198"/>
      <c r="C195" s="38"/>
      <c r="D195" s="38"/>
      <c r="E195" s="38"/>
      <c r="F195" s="38"/>
      <c r="G195" s="38"/>
      <c r="H195" s="38"/>
      <c r="I195" s="38"/>
      <c r="J195" s="38"/>
      <c r="K195" s="38"/>
    </row>
    <row r="196" spans="2:11">
      <c r="B196" s="198"/>
      <c r="C196" s="38"/>
      <c r="D196" s="38"/>
      <c r="E196" s="38"/>
      <c r="F196" s="38"/>
      <c r="G196" s="38"/>
      <c r="H196" s="38"/>
      <c r="I196" s="38"/>
      <c r="J196" s="38"/>
      <c r="K196" s="38"/>
    </row>
    <row r="197" spans="2:11">
      <c r="B197" s="198"/>
      <c r="C197" s="38"/>
      <c r="D197" s="38"/>
      <c r="E197" s="38"/>
      <c r="F197" s="38"/>
      <c r="G197" s="38"/>
      <c r="H197" s="38"/>
      <c r="I197" s="38"/>
      <c r="J197" s="38"/>
      <c r="K197" s="38"/>
    </row>
    <row r="198" spans="2:11">
      <c r="B198" s="198"/>
      <c r="C198" s="38"/>
      <c r="D198" s="38"/>
      <c r="E198" s="38"/>
      <c r="F198" s="38"/>
      <c r="G198" s="38"/>
      <c r="H198" s="38"/>
      <c r="I198" s="38"/>
      <c r="J198" s="38"/>
      <c r="K198" s="38"/>
    </row>
    <row r="199" spans="2:11">
      <c r="B199" s="198"/>
      <c r="C199" s="38"/>
      <c r="D199" s="38"/>
      <c r="E199" s="38"/>
      <c r="F199" s="38"/>
      <c r="G199" s="38"/>
      <c r="H199" s="38"/>
      <c r="I199" s="38"/>
      <c r="J199" s="38"/>
      <c r="K199" s="38"/>
    </row>
    <row r="200" spans="2:11">
      <c r="B200" s="198"/>
      <c r="C200" s="38"/>
      <c r="D200" s="38"/>
      <c r="E200" s="38"/>
      <c r="F200" s="38"/>
      <c r="G200" s="38"/>
      <c r="H200" s="38"/>
      <c r="I200" s="38"/>
      <c r="J200" s="38"/>
      <c r="K200" s="38"/>
    </row>
    <row r="201" spans="2:11">
      <c r="B201" s="198"/>
      <c r="C201" s="38"/>
      <c r="D201" s="38"/>
      <c r="E201" s="38"/>
      <c r="F201" s="38"/>
      <c r="G201" s="38"/>
      <c r="H201" s="38"/>
      <c r="I201" s="38"/>
      <c r="J201" s="38"/>
      <c r="K201" s="38"/>
    </row>
    <row r="202" spans="2:11">
      <c r="B202" s="198"/>
      <c r="C202" s="38"/>
      <c r="D202" s="38"/>
      <c r="E202" s="38"/>
      <c r="F202" s="38"/>
      <c r="G202" s="38"/>
      <c r="H202" s="38"/>
      <c r="I202" s="38"/>
      <c r="J202" s="38"/>
      <c r="K202" s="38"/>
    </row>
    <row r="203" spans="2:11">
      <c r="B203" s="198"/>
      <c r="C203" s="38"/>
      <c r="D203" s="38"/>
      <c r="E203" s="38"/>
      <c r="F203" s="38"/>
      <c r="G203" s="38"/>
      <c r="H203" s="38"/>
      <c r="I203" s="38"/>
      <c r="J203" s="38"/>
      <c r="K203" s="38"/>
    </row>
    <row r="204" spans="2:11">
      <c r="B204" s="198"/>
      <c r="C204" s="38"/>
      <c r="D204" s="38"/>
      <c r="E204" s="38"/>
      <c r="F204" s="38"/>
      <c r="G204" s="38"/>
      <c r="H204" s="38"/>
      <c r="I204" s="38"/>
      <c r="J204" s="38"/>
      <c r="K204" s="38"/>
    </row>
    <row r="205" spans="2:11">
      <c r="B205" s="198"/>
      <c r="C205" s="38"/>
      <c r="D205" s="38"/>
      <c r="E205" s="38"/>
      <c r="F205" s="38"/>
      <c r="G205" s="38"/>
      <c r="H205" s="38"/>
      <c r="I205" s="38"/>
      <c r="J205" s="38"/>
      <c r="K205" s="38"/>
    </row>
    <row r="206" spans="2:11">
      <c r="B206" s="198"/>
      <c r="C206" s="38"/>
      <c r="D206" s="38"/>
      <c r="E206" s="38"/>
      <c r="F206" s="38"/>
      <c r="G206" s="38"/>
      <c r="H206" s="38"/>
      <c r="I206" s="38"/>
      <c r="J206" s="38"/>
      <c r="K206" s="38"/>
    </row>
    <row r="207" spans="2:11">
      <c r="B207" s="198"/>
      <c r="C207" s="38"/>
      <c r="D207" s="38"/>
      <c r="E207" s="38"/>
      <c r="F207" s="38"/>
      <c r="G207" s="38"/>
      <c r="H207" s="38"/>
      <c r="I207" s="38"/>
      <c r="J207" s="38"/>
      <c r="K207" s="38"/>
    </row>
    <row r="208" spans="2:11">
      <c r="B208" s="198"/>
      <c r="C208" s="38"/>
      <c r="D208" s="38"/>
      <c r="E208" s="38"/>
      <c r="F208" s="38"/>
      <c r="G208" s="38"/>
      <c r="H208" s="38"/>
      <c r="I208" s="38"/>
      <c r="J208" s="38"/>
      <c r="K208" s="38"/>
    </row>
    <row r="209" spans="2:11">
      <c r="B209" s="198"/>
      <c r="C209" s="38"/>
      <c r="D209" s="38"/>
      <c r="E209" s="38"/>
      <c r="F209" s="38"/>
      <c r="G209" s="38"/>
      <c r="H209" s="38"/>
      <c r="I209" s="38"/>
      <c r="J209" s="38"/>
      <c r="K209" s="38"/>
    </row>
    <row r="210" spans="2:11" ht="14.25" customHeight="1">
      <c r="B210" s="198"/>
      <c r="C210" s="38"/>
      <c r="D210" s="38"/>
      <c r="E210" s="38"/>
      <c r="F210" s="38"/>
      <c r="G210" s="38"/>
      <c r="H210" s="38"/>
      <c r="I210" s="38"/>
      <c r="J210" s="38"/>
      <c r="K210" s="38"/>
    </row>
    <row r="211" spans="2:11" ht="12.75" customHeight="1">
      <c r="B211" s="198"/>
      <c r="C211" s="38"/>
      <c r="D211" s="38"/>
      <c r="E211" s="38"/>
      <c r="F211" s="38"/>
      <c r="G211" s="38"/>
      <c r="H211" s="38"/>
      <c r="I211" s="38"/>
      <c r="J211" s="38"/>
      <c r="K211" s="38"/>
    </row>
    <row r="212" spans="2:11" ht="12.75" customHeight="1">
      <c r="B212" s="198"/>
      <c r="C212" s="38"/>
      <c r="D212" s="38"/>
      <c r="E212" s="38"/>
      <c r="F212" s="38"/>
      <c r="G212" s="38"/>
      <c r="H212" s="38"/>
      <c r="I212" s="38"/>
      <c r="J212" s="38"/>
      <c r="K212" s="38"/>
    </row>
    <row r="213" spans="2:11" ht="12.75" customHeight="1">
      <c r="B213" s="198"/>
      <c r="C213" s="38"/>
      <c r="D213" s="38"/>
      <c r="E213" s="38"/>
      <c r="F213" s="38"/>
      <c r="G213" s="38"/>
      <c r="H213" s="38"/>
      <c r="I213" s="38"/>
      <c r="J213" s="38"/>
      <c r="K213" s="38"/>
    </row>
    <row r="214" spans="2:11" ht="12.75" customHeight="1">
      <c r="B214" s="198"/>
      <c r="C214" s="38"/>
      <c r="D214" s="38"/>
      <c r="E214" s="38"/>
      <c r="F214" s="38"/>
      <c r="G214" s="38"/>
      <c r="H214" s="38"/>
      <c r="I214" s="38"/>
      <c r="J214" s="38"/>
      <c r="K214" s="38"/>
    </row>
    <row r="215" spans="2:11" ht="12.75" customHeight="1">
      <c r="B215" s="198"/>
      <c r="C215" s="38"/>
      <c r="D215" s="38"/>
      <c r="E215" s="38"/>
      <c r="F215" s="38"/>
      <c r="G215" s="38"/>
      <c r="H215" s="38"/>
      <c r="I215" s="38"/>
      <c r="J215" s="38"/>
      <c r="K215" s="38"/>
    </row>
    <row r="216" spans="2:11" ht="12.75" customHeight="1">
      <c r="B216" s="198"/>
      <c r="C216" s="38"/>
      <c r="D216" s="38"/>
      <c r="E216" s="38"/>
      <c r="F216" s="38"/>
      <c r="G216" s="38"/>
      <c r="H216" s="38"/>
      <c r="I216" s="38"/>
      <c r="J216" s="38"/>
      <c r="K216" s="38"/>
    </row>
    <row r="217" spans="2:11" ht="12.75" customHeight="1">
      <c r="B217" s="198"/>
      <c r="C217" s="38"/>
      <c r="D217" s="38"/>
      <c r="E217" s="38"/>
      <c r="F217" s="38"/>
      <c r="G217" s="38"/>
      <c r="H217" s="38"/>
      <c r="I217" s="38"/>
      <c r="J217" s="38"/>
      <c r="K217" s="38"/>
    </row>
    <row r="218" spans="2:11" ht="12.75" customHeight="1">
      <c r="B218" s="198"/>
      <c r="C218" s="38"/>
      <c r="D218" s="38"/>
      <c r="E218" s="38"/>
      <c r="F218" s="38"/>
      <c r="G218" s="38"/>
      <c r="H218" s="38"/>
      <c r="I218" s="38"/>
      <c r="J218" s="38"/>
      <c r="K218" s="38"/>
    </row>
    <row r="219" spans="2:11" ht="12.75" customHeight="1">
      <c r="B219" s="198"/>
      <c r="C219" s="38"/>
      <c r="D219" s="38"/>
      <c r="E219" s="38"/>
      <c r="F219" s="38"/>
      <c r="G219" s="38"/>
      <c r="H219" s="38"/>
      <c r="I219" s="38"/>
      <c r="J219" s="38"/>
      <c r="K219" s="38"/>
    </row>
    <row r="220" spans="2:11" ht="12.75" customHeight="1">
      <c r="B220" s="198"/>
      <c r="C220" s="38"/>
      <c r="D220" s="38"/>
      <c r="E220" s="38"/>
      <c r="F220" s="38"/>
      <c r="G220" s="38"/>
      <c r="H220" s="38"/>
      <c r="I220" s="38"/>
      <c r="J220" s="38"/>
      <c r="K220" s="38"/>
    </row>
    <row r="221" spans="2:11" ht="12.75" customHeight="1">
      <c r="B221" s="198"/>
      <c r="C221" s="38"/>
      <c r="D221" s="38"/>
      <c r="E221" s="38"/>
      <c r="F221" s="38"/>
      <c r="G221" s="38"/>
      <c r="H221" s="38"/>
      <c r="I221" s="38"/>
      <c r="J221" s="38"/>
      <c r="K221" s="38"/>
    </row>
    <row r="222" spans="2:11" ht="12.75" customHeight="1">
      <c r="B222" s="198"/>
      <c r="C222" s="38"/>
      <c r="D222" s="38"/>
      <c r="E222" s="38"/>
      <c r="F222" s="38"/>
      <c r="G222" s="38"/>
      <c r="H222" s="38"/>
      <c r="I222" s="38"/>
      <c r="J222" s="38"/>
      <c r="K222" s="38"/>
    </row>
    <row r="223" spans="2:11" ht="12.75" customHeight="1">
      <c r="B223" s="198"/>
      <c r="C223" s="38"/>
      <c r="D223" s="38"/>
      <c r="E223" s="38"/>
      <c r="F223" s="38"/>
      <c r="G223" s="38"/>
      <c r="H223" s="38"/>
      <c r="I223" s="38"/>
      <c r="J223" s="38"/>
      <c r="K223" s="38"/>
    </row>
    <row r="224" spans="2:11" ht="12.75" customHeight="1">
      <c r="B224" s="198"/>
      <c r="C224" s="38"/>
      <c r="D224" s="38"/>
      <c r="E224" s="38"/>
      <c r="F224" s="38"/>
      <c r="G224" s="38"/>
      <c r="H224" s="38"/>
      <c r="I224" s="38"/>
      <c r="J224" s="38"/>
      <c r="K224" s="38"/>
    </row>
    <row r="225" spans="2:11" ht="12.75" customHeight="1">
      <c r="B225" s="198"/>
      <c r="C225" s="38"/>
      <c r="D225" s="38"/>
      <c r="E225" s="38"/>
      <c r="F225" s="38"/>
      <c r="G225" s="38"/>
      <c r="H225" s="38"/>
      <c r="I225" s="38"/>
      <c r="J225" s="38"/>
      <c r="K225" s="38"/>
    </row>
    <row r="226" spans="2:11">
      <c r="B226" s="198"/>
      <c r="C226" s="38"/>
      <c r="D226" s="38"/>
      <c r="E226" s="38"/>
      <c r="F226" s="38"/>
      <c r="G226" s="38"/>
      <c r="H226" s="38"/>
      <c r="I226" s="38"/>
      <c r="J226" s="38"/>
      <c r="K226" s="38"/>
    </row>
    <row r="227" spans="2:11">
      <c r="B227" s="198"/>
      <c r="C227" s="38"/>
      <c r="D227" s="38"/>
      <c r="E227" s="38"/>
      <c r="F227" s="38"/>
      <c r="G227" s="38"/>
      <c r="H227" s="38"/>
      <c r="I227" s="38"/>
      <c r="J227" s="38"/>
      <c r="K227" s="38"/>
    </row>
    <row r="228" spans="2:11">
      <c r="B228" s="198"/>
      <c r="C228" s="38"/>
      <c r="D228" s="38"/>
      <c r="E228" s="38"/>
      <c r="F228" s="38"/>
      <c r="G228" s="38"/>
      <c r="H228" s="38"/>
      <c r="I228" s="38"/>
      <c r="J228" s="38"/>
      <c r="K228" s="38"/>
    </row>
    <row r="229" spans="2:11">
      <c r="B229" s="198"/>
      <c r="C229" s="38"/>
      <c r="D229" s="38"/>
      <c r="E229" s="38"/>
      <c r="F229" s="38"/>
      <c r="G229" s="38"/>
      <c r="H229" s="38"/>
      <c r="I229" s="38"/>
      <c r="J229" s="38"/>
      <c r="K229" s="38"/>
    </row>
    <row r="230" spans="2:11">
      <c r="B230" s="198"/>
      <c r="C230" s="38"/>
      <c r="D230" s="38"/>
      <c r="E230" s="38"/>
      <c r="F230" s="38"/>
      <c r="G230" s="38"/>
      <c r="H230" s="38"/>
      <c r="I230" s="38"/>
      <c r="J230" s="38"/>
      <c r="K230" s="38"/>
    </row>
    <row r="231" spans="2:11">
      <c r="B231" s="198"/>
      <c r="C231" s="38"/>
      <c r="D231" s="38"/>
      <c r="E231" s="38"/>
      <c r="F231" s="38"/>
      <c r="G231" s="38"/>
      <c r="H231" s="38"/>
      <c r="I231" s="38"/>
      <c r="J231" s="38"/>
      <c r="K231" s="38"/>
    </row>
    <row r="232" spans="2:11">
      <c r="B232" s="198"/>
      <c r="C232" s="38"/>
      <c r="D232" s="38"/>
      <c r="E232" s="38"/>
      <c r="F232" s="38"/>
      <c r="G232" s="38"/>
      <c r="H232" s="38"/>
      <c r="I232" s="38"/>
      <c r="J232" s="38"/>
      <c r="K232" s="38"/>
    </row>
    <row r="233" spans="2:11">
      <c r="B233" s="198"/>
      <c r="C233" s="38"/>
      <c r="D233" s="38"/>
      <c r="E233" s="38"/>
      <c r="F233" s="38"/>
      <c r="G233" s="38"/>
      <c r="H233" s="38"/>
      <c r="I233" s="38"/>
      <c r="J233" s="38"/>
      <c r="K233" s="38"/>
    </row>
    <row r="234" spans="2:11">
      <c r="B234" s="198"/>
      <c r="C234" s="38"/>
      <c r="D234" s="38"/>
      <c r="E234" s="38"/>
      <c r="F234" s="38"/>
      <c r="G234" s="38"/>
      <c r="H234" s="38"/>
      <c r="I234" s="38"/>
      <c r="J234" s="38"/>
      <c r="K234" s="38"/>
    </row>
    <row r="235" spans="2:11">
      <c r="B235" s="198"/>
      <c r="C235" s="38"/>
      <c r="D235" s="38"/>
      <c r="E235" s="38"/>
      <c r="F235" s="38"/>
      <c r="G235" s="38"/>
      <c r="H235" s="38"/>
      <c r="I235" s="38"/>
      <c r="J235" s="38"/>
      <c r="K235" s="38"/>
    </row>
    <row r="236" spans="2:11">
      <c r="B236" s="198"/>
      <c r="C236" s="38"/>
      <c r="D236" s="38"/>
      <c r="E236" s="38"/>
      <c r="F236" s="38"/>
      <c r="G236" s="38"/>
      <c r="H236" s="38"/>
      <c r="I236" s="38"/>
      <c r="J236" s="38"/>
      <c r="K236" s="38"/>
    </row>
    <row r="237" spans="2:11">
      <c r="B237" s="198"/>
      <c r="C237" s="38"/>
      <c r="D237" s="38"/>
      <c r="E237" s="38"/>
      <c r="F237" s="38"/>
      <c r="G237" s="38"/>
      <c r="H237" s="38"/>
      <c r="I237" s="38"/>
      <c r="J237" s="38"/>
      <c r="K237" s="38"/>
    </row>
    <row r="238" spans="2:11">
      <c r="B238" s="198"/>
      <c r="C238" s="38"/>
      <c r="D238" s="38"/>
      <c r="E238" s="38"/>
      <c r="F238" s="38"/>
      <c r="G238" s="38"/>
      <c r="H238" s="38"/>
      <c r="I238" s="38"/>
      <c r="J238" s="38"/>
      <c r="K238" s="38"/>
    </row>
    <row r="239" spans="2:11">
      <c r="B239" s="198"/>
      <c r="C239" s="38"/>
      <c r="D239" s="38"/>
      <c r="E239" s="38"/>
      <c r="F239" s="38"/>
      <c r="G239" s="38"/>
      <c r="H239" s="38"/>
      <c r="I239" s="38"/>
      <c r="J239" s="38"/>
      <c r="K239" s="38"/>
    </row>
    <row r="240" spans="2:11">
      <c r="B240" s="198"/>
      <c r="C240" s="38"/>
      <c r="D240" s="38"/>
      <c r="E240" s="38"/>
      <c r="F240" s="38"/>
      <c r="G240" s="38"/>
      <c r="H240" s="38"/>
      <c r="I240" s="38"/>
      <c r="J240" s="38"/>
      <c r="K240" s="38"/>
    </row>
    <row r="241" spans="2:11">
      <c r="B241" s="198"/>
      <c r="C241" s="38"/>
      <c r="D241" s="38"/>
      <c r="E241" s="38"/>
      <c r="F241" s="38"/>
      <c r="G241" s="38"/>
      <c r="H241" s="38"/>
      <c r="I241" s="38"/>
      <c r="J241" s="38"/>
      <c r="K241" s="38"/>
    </row>
    <row r="242" spans="2:11">
      <c r="B242" s="198"/>
      <c r="C242" s="38"/>
      <c r="D242" s="38"/>
      <c r="E242" s="38"/>
      <c r="F242" s="38"/>
      <c r="G242" s="38"/>
      <c r="H242" s="38"/>
      <c r="I242" s="38"/>
      <c r="J242" s="38"/>
      <c r="K242" s="38"/>
    </row>
    <row r="243" spans="2:11">
      <c r="B243" s="198"/>
      <c r="C243" s="38"/>
      <c r="D243" s="38"/>
      <c r="E243" s="38"/>
      <c r="F243" s="38"/>
      <c r="G243" s="38"/>
      <c r="H243" s="38"/>
      <c r="I243" s="38"/>
      <c r="J243" s="38"/>
      <c r="K243" s="38"/>
    </row>
  </sheetData>
  <mergeCells count="5">
    <mergeCell ref="A1:J1"/>
    <mergeCell ref="A2:J2"/>
    <mergeCell ref="A3:J3"/>
    <mergeCell ref="A4:J4"/>
    <mergeCell ref="G53:G56"/>
  </mergeCells>
  <printOptions horizontalCentered="1"/>
  <pageMargins left="0.25" right="0.25" top="1" bottom="1" header="0.65" footer="0.5"/>
  <pageSetup scale="54" orientation="portrait" r:id="rId1"/>
  <headerFooter alignWithMargins="0">
    <oddHeader xml:space="preserve">&amp;R&amp;16AEP - SPP Formula Rate
TCOS - WS C
Page: &amp;P of &amp;N
</oddHeader>
    <oddFooter xml:space="preserve">&amp;C &amp;R </oddFooter>
  </headerFooter>
  <rowBreaks count="1" manualBreakCount="1">
    <brk id="82"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8"/>
  <sheetViews>
    <sheetView topLeftCell="C34" zoomScale="90" zoomScaleNormal="90" zoomScaleSheetLayoutView="100" zoomScalePageLayoutView="80" workbookViewId="0">
      <selection activeCell="O34" sqref="O34"/>
    </sheetView>
  </sheetViews>
  <sheetFormatPr defaultColWidth="8.85546875" defaultRowHeight="12.75"/>
  <cols>
    <col min="1" max="2" width="1.7109375" style="38" customWidth="1"/>
    <col min="3" max="3" width="12.7109375" style="38" customWidth="1"/>
    <col min="4" max="4" width="1.7109375" style="1124" customWidth="1"/>
    <col min="5" max="5" width="11.7109375" style="38" customWidth="1"/>
    <col min="6" max="6" width="1.5703125" style="38" customWidth="1"/>
    <col min="7" max="7" width="54.7109375" style="38" customWidth="1"/>
    <col min="8" max="8" width="17.28515625" style="1101" bestFit="1" customWidth="1"/>
    <col min="9" max="9" width="12.42578125" style="38" customWidth="1"/>
    <col min="10" max="10" width="13.7109375" style="38" customWidth="1"/>
    <col min="11" max="11" width="14.85546875" style="38" customWidth="1"/>
    <col min="12" max="12" width="17.140625" style="38" customWidth="1"/>
    <col min="13" max="14" width="13.7109375" style="38" customWidth="1"/>
    <col min="15" max="16384" width="8.85546875" style="38"/>
  </cols>
  <sheetData>
    <row r="1" spans="1:14" ht="20.25">
      <c r="A1" s="709"/>
      <c r="B1" s="1115"/>
      <c r="D1" s="38"/>
      <c r="I1" s="1286"/>
      <c r="J1" s="1286"/>
      <c r="K1" s="1286"/>
      <c r="L1" s="1286"/>
      <c r="M1" s="1286"/>
      <c r="N1" s="165"/>
    </row>
    <row r="2" spans="1:14" ht="20.25" customHeight="1">
      <c r="A2" s="165"/>
      <c r="B2" s="1363"/>
      <c r="C2" s="1564" t="str">
        <f>+'SWEPCO TCOS'!F3</f>
        <v xml:space="preserve">AEP West SPP Member Operating Companies </v>
      </c>
      <c r="D2" s="1564"/>
      <c r="E2" s="1564"/>
      <c r="F2" s="1564"/>
      <c r="G2" s="1564"/>
      <c r="H2" s="1564"/>
      <c r="I2" s="1564"/>
      <c r="J2" s="1564"/>
      <c r="K2" s="1564"/>
      <c r="L2" s="1564"/>
      <c r="M2" s="1564"/>
      <c r="N2" s="1564"/>
    </row>
    <row r="3" spans="1:14" ht="20.25" customHeight="1">
      <c r="C3" s="1562" t="str">
        <f>+'SWEPCO TCOS'!F7</f>
        <v>SOUTHWESTERN ELECTRIC POWER COMPANY</v>
      </c>
      <c r="D3" s="1562"/>
      <c r="E3" s="1562"/>
      <c r="F3" s="1562"/>
      <c r="G3" s="1562"/>
      <c r="H3" s="1562"/>
      <c r="I3" s="1562"/>
      <c r="J3" s="1562"/>
      <c r="K3" s="1562"/>
      <c r="L3" s="1562"/>
      <c r="M3" s="1562"/>
      <c r="N3" s="1562"/>
    </row>
    <row r="4" spans="1:14" ht="22.5" customHeight="1">
      <c r="C4" s="1562" t="s">
        <v>1132</v>
      </c>
      <c r="D4" s="1562"/>
      <c r="E4" s="1562"/>
      <c r="F4" s="1562"/>
      <c r="G4" s="1562"/>
      <c r="H4" s="1562"/>
      <c r="I4" s="1562"/>
      <c r="J4" s="1562"/>
      <c r="K4" s="1562"/>
      <c r="L4" s="1562"/>
      <c r="M4" s="1562"/>
      <c r="N4" s="1562"/>
    </row>
    <row r="5" spans="1:14" ht="18" customHeight="1">
      <c r="C5" s="1567" t="str">
        <f>"AS OF DECEMBER 31, "&amp;'SWEPCO TCOS'!N1</f>
        <v>AS OF DECEMBER 31, 2019</v>
      </c>
      <c r="D5" s="1567"/>
      <c r="E5" s="1567"/>
      <c r="F5" s="1567"/>
      <c r="G5" s="1567"/>
      <c r="H5" s="1567"/>
      <c r="I5" s="1567"/>
      <c r="J5" s="1567"/>
      <c r="K5" s="1567"/>
      <c r="L5" s="1567"/>
      <c r="M5" s="1567"/>
      <c r="N5" s="1567"/>
    </row>
    <row r="6" spans="1:14">
      <c r="D6" s="38"/>
    </row>
    <row r="7" spans="1:14">
      <c r="D7" s="38"/>
      <c r="J7" s="1566" t="s">
        <v>178</v>
      </c>
      <c r="K7" s="1566"/>
      <c r="L7" s="1566"/>
      <c r="M7" s="1566"/>
      <c r="N7" s="1566"/>
    </row>
    <row r="8" spans="1:14" ht="25.5">
      <c r="C8" s="668" t="s">
        <v>439</v>
      </c>
      <c r="D8" s="113"/>
      <c r="E8" s="668" t="s">
        <v>179</v>
      </c>
      <c r="G8" s="668" t="s">
        <v>343</v>
      </c>
      <c r="H8" s="1116" t="s">
        <v>353</v>
      </c>
      <c r="I8" s="193" t="s">
        <v>103</v>
      </c>
      <c r="J8" s="193" t="s">
        <v>180</v>
      </c>
      <c r="K8" s="193" t="s">
        <v>181</v>
      </c>
      <c r="L8" s="668" t="s">
        <v>182</v>
      </c>
      <c r="M8" s="668" t="s">
        <v>183</v>
      </c>
      <c r="N8" s="668" t="s">
        <v>337</v>
      </c>
    </row>
    <row r="10" spans="1:14">
      <c r="C10" s="838" t="s">
        <v>840</v>
      </c>
      <c r="D10" s="839" t="s">
        <v>375</v>
      </c>
      <c r="E10" s="838" t="s">
        <v>1211</v>
      </c>
      <c r="F10"/>
      <c r="G10" s="868" t="s">
        <v>1285</v>
      </c>
      <c r="H10" s="1495">
        <v>-659659176.40999997</v>
      </c>
      <c r="I10" s="842" t="s">
        <v>184</v>
      </c>
      <c r="J10" s="843" t="str">
        <f>IF(I10="e",H10," ")</f>
        <v xml:space="preserve"> </v>
      </c>
      <c r="K10" s="278" t="str">
        <f t="shared" ref="K10:K50" si="0">IF($I10="T",$H10," ")</f>
        <v xml:space="preserve"> </v>
      </c>
      <c r="L10" s="278">
        <f t="shared" ref="L10:L50" si="1">IF($I10="PTD",$H10," ")</f>
        <v>-659659176.40999997</v>
      </c>
      <c r="M10" s="843" t="str">
        <f t="shared" ref="M10:M50" si="2">IF($I10="T&amp;D",$H10," ")</f>
        <v xml:space="preserve"> </v>
      </c>
      <c r="N10" s="843" t="str">
        <f>IF(I10="Labor",H10," ")</f>
        <v xml:space="preserve"> </v>
      </c>
    </row>
    <row r="11" spans="1:14">
      <c r="C11" s="838" t="s">
        <v>840</v>
      </c>
      <c r="D11" s="839" t="s">
        <v>375</v>
      </c>
      <c r="E11" s="838" t="s">
        <v>1212</v>
      </c>
      <c r="F11"/>
      <c r="G11" s="840" t="s">
        <v>842</v>
      </c>
      <c r="H11" s="841">
        <v>-763036.47</v>
      </c>
      <c r="I11" s="842" t="s">
        <v>184</v>
      </c>
      <c r="J11" s="843" t="str">
        <f t="shared" ref="J11:J48" si="3">IF(I11="e",H11," ")</f>
        <v xml:space="preserve"> </v>
      </c>
      <c r="K11" s="278" t="str">
        <f t="shared" si="0"/>
        <v xml:space="preserve"> </v>
      </c>
      <c r="L11" s="278">
        <f t="shared" si="1"/>
        <v>-763036.47</v>
      </c>
      <c r="M11" s="843" t="str">
        <f t="shared" si="2"/>
        <v xml:space="preserve"> </v>
      </c>
      <c r="N11" s="843" t="str">
        <f t="shared" ref="N11:N48" si="4">IF(I11="Labor",H11," ")</f>
        <v xml:space="preserve"> </v>
      </c>
    </row>
    <row r="12" spans="1:14">
      <c r="C12" s="838" t="s">
        <v>840</v>
      </c>
      <c r="D12" s="839" t="s">
        <v>375</v>
      </c>
      <c r="E12" s="838" t="s">
        <v>1213</v>
      </c>
      <c r="F12"/>
      <c r="G12" s="840" t="s">
        <v>843</v>
      </c>
      <c r="H12" s="841">
        <v>48938.61</v>
      </c>
      <c r="I12" s="842" t="s">
        <v>184</v>
      </c>
      <c r="J12" s="843" t="str">
        <f t="shared" si="3"/>
        <v xml:space="preserve"> </v>
      </c>
      <c r="K12" s="278" t="str">
        <f t="shared" si="0"/>
        <v xml:space="preserve"> </v>
      </c>
      <c r="L12" s="278">
        <f t="shared" si="1"/>
        <v>48938.61</v>
      </c>
      <c r="M12" s="843" t="str">
        <f t="shared" si="2"/>
        <v xml:space="preserve"> </v>
      </c>
      <c r="N12" s="843" t="str">
        <f t="shared" si="4"/>
        <v xml:space="preserve"> </v>
      </c>
    </row>
    <row r="13" spans="1:14">
      <c r="C13" s="838" t="s">
        <v>840</v>
      </c>
      <c r="D13" s="839"/>
      <c r="E13" s="838" t="s">
        <v>1214</v>
      </c>
      <c r="F13"/>
      <c r="G13" s="840" t="s">
        <v>844</v>
      </c>
      <c r="H13" s="1495">
        <v>-8479963.3800000008</v>
      </c>
      <c r="I13" s="842" t="s">
        <v>184</v>
      </c>
      <c r="J13" s="843" t="str">
        <f t="shared" si="3"/>
        <v xml:space="preserve"> </v>
      </c>
      <c r="K13" s="278" t="str">
        <f t="shared" si="0"/>
        <v xml:space="preserve"> </v>
      </c>
      <c r="L13" s="278">
        <f t="shared" si="1"/>
        <v>-8479963.3800000008</v>
      </c>
      <c r="M13" s="843" t="str">
        <f t="shared" si="2"/>
        <v xml:space="preserve"> </v>
      </c>
      <c r="N13" s="843" t="str">
        <f t="shared" si="4"/>
        <v xml:space="preserve"> </v>
      </c>
    </row>
    <row r="14" spans="1:14">
      <c r="C14" s="838" t="s">
        <v>840</v>
      </c>
      <c r="D14" s="839"/>
      <c r="E14" s="838" t="s">
        <v>1215</v>
      </c>
      <c r="F14"/>
      <c r="G14" s="840" t="s">
        <v>845</v>
      </c>
      <c r="H14" s="1495">
        <v>-2775164.28</v>
      </c>
      <c r="I14" s="842" t="s">
        <v>184</v>
      </c>
      <c r="J14" s="843" t="str">
        <f t="shared" si="3"/>
        <v xml:space="preserve"> </v>
      </c>
      <c r="K14" s="278" t="str">
        <f t="shared" si="0"/>
        <v xml:space="preserve"> </v>
      </c>
      <c r="L14" s="278">
        <f t="shared" si="1"/>
        <v>-2775164.28</v>
      </c>
      <c r="M14" s="843" t="str">
        <f t="shared" si="2"/>
        <v xml:space="preserve"> </v>
      </c>
      <c r="N14" s="843" t="str">
        <f t="shared" si="4"/>
        <v xml:space="preserve"> </v>
      </c>
    </row>
    <row r="15" spans="1:14">
      <c r="C15" s="838" t="s">
        <v>840</v>
      </c>
      <c r="D15" s="839"/>
      <c r="E15" s="838" t="s">
        <v>1216</v>
      </c>
      <c r="F15"/>
      <c r="G15" s="840" t="s">
        <v>846</v>
      </c>
      <c r="H15" s="1495">
        <v>1679950.2</v>
      </c>
      <c r="I15" s="842" t="s">
        <v>184</v>
      </c>
      <c r="J15" s="843" t="str">
        <f t="shared" si="3"/>
        <v xml:space="preserve"> </v>
      </c>
      <c r="K15" s="278" t="str">
        <f t="shared" si="0"/>
        <v xml:space="preserve"> </v>
      </c>
      <c r="L15" s="278">
        <f t="shared" si="1"/>
        <v>1679950.2</v>
      </c>
      <c r="M15" s="843" t="str">
        <f t="shared" si="2"/>
        <v xml:space="preserve"> </v>
      </c>
      <c r="N15" s="843" t="str">
        <f t="shared" si="4"/>
        <v xml:space="preserve"> </v>
      </c>
    </row>
    <row r="16" spans="1:14">
      <c r="C16" s="838" t="s">
        <v>840</v>
      </c>
      <c r="D16" s="839"/>
      <c r="E16" s="838" t="s">
        <v>1217</v>
      </c>
      <c r="F16"/>
      <c r="G16" s="840" t="s">
        <v>847</v>
      </c>
      <c r="H16" s="1495">
        <v>-18481099.370000001</v>
      </c>
      <c r="I16" s="842" t="s">
        <v>328</v>
      </c>
      <c r="J16" s="843">
        <f t="shared" si="3"/>
        <v>-18481099.370000001</v>
      </c>
      <c r="K16" s="278" t="str">
        <f t="shared" si="0"/>
        <v xml:space="preserve"> </v>
      </c>
      <c r="L16" s="278" t="str">
        <f t="shared" si="1"/>
        <v xml:space="preserve"> </v>
      </c>
      <c r="M16" s="843" t="str">
        <f t="shared" si="2"/>
        <v xml:space="preserve"> </v>
      </c>
      <c r="N16" s="843" t="str">
        <f t="shared" si="4"/>
        <v xml:space="preserve"> </v>
      </c>
    </row>
    <row r="17" spans="3:14">
      <c r="C17" s="838" t="s">
        <v>840</v>
      </c>
      <c r="D17" s="839"/>
      <c r="E17" s="838" t="s">
        <v>1218</v>
      </c>
      <c r="F17"/>
      <c r="G17" s="840" t="s">
        <v>848</v>
      </c>
      <c r="H17" s="1495">
        <v>-23119969.850000001</v>
      </c>
      <c r="I17" s="842" t="s">
        <v>184</v>
      </c>
      <c r="J17" s="843" t="str">
        <f t="shared" si="3"/>
        <v xml:space="preserve"> </v>
      </c>
      <c r="K17" s="278" t="str">
        <f t="shared" si="0"/>
        <v xml:space="preserve"> </v>
      </c>
      <c r="L17" s="278">
        <f t="shared" si="1"/>
        <v>-23119969.850000001</v>
      </c>
      <c r="M17" s="843" t="str">
        <f t="shared" si="2"/>
        <v xml:space="preserve"> </v>
      </c>
      <c r="N17" s="843" t="str">
        <f t="shared" si="4"/>
        <v xml:space="preserve"> </v>
      </c>
    </row>
    <row r="18" spans="3:14">
      <c r="C18" s="838" t="s">
        <v>840</v>
      </c>
      <c r="D18" s="839" t="s">
        <v>375</v>
      </c>
      <c r="E18" s="838" t="s">
        <v>1219</v>
      </c>
      <c r="F18"/>
      <c r="G18" s="840" t="s">
        <v>849</v>
      </c>
      <c r="H18" s="1495">
        <v>1058846.83</v>
      </c>
      <c r="I18" s="842" t="s">
        <v>184</v>
      </c>
      <c r="J18" s="843" t="str">
        <f t="shared" si="3"/>
        <v xml:space="preserve"> </v>
      </c>
      <c r="K18" s="278" t="str">
        <f t="shared" si="0"/>
        <v xml:space="preserve"> </v>
      </c>
      <c r="L18" s="278">
        <f t="shared" si="1"/>
        <v>1058846.83</v>
      </c>
      <c r="M18" s="843" t="str">
        <f t="shared" si="2"/>
        <v xml:space="preserve"> </v>
      </c>
      <c r="N18" s="843" t="str">
        <f t="shared" si="4"/>
        <v xml:space="preserve"> </v>
      </c>
    </row>
    <row r="19" spans="3:14">
      <c r="C19" s="838" t="s">
        <v>840</v>
      </c>
      <c r="D19" s="839" t="s">
        <v>375</v>
      </c>
      <c r="E19" s="838" t="s">
        <v>1220</v>
      </c>
      <c r="F19"/>
      <c r="G19" s="840" t="s">
        <v>850</v>
      </c>
      <c r="H19" s="1495">
        <v>-1612881.27</v>
      </c>
      <c r="I19" s="842" t="s">
        <v>328</v>
      </c>
      <c r="J19" s="843">
        <f t="shared" si="3"/>
        <v>-1612881.27</v>
      </c>
      <c r="K19" s="278" t="str">
        <f t="shared" si="0"/>
        <v xml:space="preserve"> </v>
      </c>
      <c r="L19" s="278" t="str">
        <f t="shared" si="1"/>
        <v xml:space="preserve"> </v>
      </c>
      <c r="M19" s="843" t="str">
        <f t="shared" si="2"/>
        <v xml:space="preserve"> </v>
      </c>
      <c r="N19" s="843" t="str">
        <f t="shared" si="4"/>
        <v xml:space="preserve"> </v>
      </c>
    </row>
    <row r="20" spans="3:14">
      <c r="C20" s="838" t="s">
        <v>840</v>
      </c>
      <c r="D20" s="839" t="s">
        <v>375</v>
      </c>
      <c r="E20" s="838" t="s">
        <v>1221</v>
      </c>
      <c r="F20"/>
      <c r="G20" s="840" t="s">
        <v>851</v>
      </c>
      <c r="H20" s="1495">
        <v>-48363448.420000002</v>
      </c>
      <c r="I20" s="842" t="s">
        <v>184</v>
      </c>
      <c r="J20" s="843" t="str">
        <f t="shared" si="3"/>
        <v xml:space="preserve"> </v>
      </c>
      <c r="K20" s="278" t="str">
        <f t="shared" si="0"/>
        <v xml:space="preserve"> </v>
      </c>
      <c r="L20" s="278">
        <f t="shared" si="1"/>
        <v>-48363448.420000002</v>
      </c>
      <c r="M20" s="843" t="str">
        <f t="shared" si="2"/>
        <v xml:space="preserve"> </v>
      </c>
      <c r="N20" s="843" t="str">
        <f t="shared" si="4"/>
        <v xml:space="preserve"> </v>
      </c>
    </row>
    <row r="21" spans="3:14">
      <c r="C21" s="838" t="s">
        <v>840</v>
      </c>
      <c r="D21" s="839" t="s">
        <v>375</v>
      </c>
      <c r="E21" s="838" t="s">
        <v>1222</v>
      </c>
      <c r="F21"/>
      <c r="G21" s="840" t="s">
        <v>852</v>
      </c>
      <c r="H21" s="1495">
        <v>76462067.189999998</v>
      </c>
      <c r="I21" s="842" t="s">
        <v>184</v>
      </c>
      <c r="J21" s="843" t="str">
        <f t="shared" si="3"/>
        <v xml:space="preserve"> </v>
      </c>
      <c r="K21" s="278" t="str">
        <f t="shared" si="0"/>
        <v xml:space="preserve"> </v>
      </c>
      <c r="L21" s="278">
        <f t="shared" si="1"/>
        <v>76462067.189999998</v>
      </c>
      <c r="M21" s="843" t="str">
        <f t="shared" si="2"/>
        <v xml:space="preserve"> </v>
      </c>
      <c r="N21" s="843" t="str">
        <f t="shared" si="4"/>
        <v xml:space="preserve"> </v>
      </c>
    </row>
    <row r="22" spans="3:14">
      <c r="C22" s="838" t="s">
        <v>840</v>
      </c>
      <c r="D22" s="839" t="s">
        <v>375</v>
      </c>
      <c r="E22" s="838" t="s">
        <v>1223</v>
      </c>
      <c r="F22"/>
      <c r="G22" s="840" t="s">
        <v>853</v>
      </c>
      <c r="H22" s="1495">
        <v>9707886.25</v>
      </c>
      <c r="I22" s="842" t="s">
        <v>328</v>
      </c>
      <c r="J22" s="843">
        <f t="shared" si="3"/>
        <v>9707886.25</v>
      </c>
      <c r="K22" s="278" t="str">
        <f t="shared" si="0"/>
        <v xml:space="preserve"> </v>
      </c>
      <c r="L22" s="278" t="str">
        <f t="shared" si="1"/>
        <v xml:space="preserve"> </v>
      </c>
      <c r="M22" s="843" t="str">
        <f t="shared" si="2"/>
        <v xml:space="preserve"> </v>
      </c>
      <c r="N22" s="843" t="str">
        <f t="shared" si="4"/>
        <v xml:space="preserve"> </v>
      </c>
    </row>
    <row r="23" spans="3:14">
      <c r="C23" s="838" t="s">
        <v>840</v>
      </c>
      <c r="D23" s="839" t="s">
        <v>375</v>
      </c>
      <c r="E23" s="838" t="s">
        <v>1224</v>
      </c>
      <c r="F23"/>
      <c r="G23" s="840" t="s">
        <v>854</v>
      </c>
      <c r="H23" s="1495">
        <v>-235401.60000000001</v>
      </c>
      <c r="I23" s="842" t="s">
        <v>184</v>
      </c>
      <c r="J23" s="843" t="str">
        <f t="shared" si="3"/>
        <v xml:space="preserve"> </v>
      </c>
      <c r="K23" s="278" t="str">
        <f t="shared" si="0"/>
        <v xml:space="preserve"> </v>
      </c>
      <c r="L23" s="278">
        <f t="shared" si="1"/>
        <v>-235401.60000000001</v>
      </c>
      <c r="M23" s="843" t="str">
        <f t="shared" si="2"/>
        <v xml:space="preserve"> </v>
      </c>
      <c r="N23" s="843" t="str">
        <f t="shared" si="4"/>
        <v xml:space="preserve"> </v>
      </c>
    </row>
    <row r="24" spans="3:14">
      <c r="C24" s="838" t="s">
        <v>840</v>
      </c>
      <c r="D24" s="839" t="s">
        <v>375</v>
      </c>
      <c r="E24" s="838" t="s">
        <v>1225</v>
      </c>
      <c r="F24"/>
      <c r="G24" s="840" t="s">
        <v>855</v>
      </c>
      <c r="H24" s="1495">
        <v>-9076043.8200000003</v>
      </c>
      <c r="I24" s="842" t="s">
        <v>184</v>
      </c>
      <c r="J24" s="843" t="str">
        <f t="shared" si="3"/>
        <v xml:space="preserve"> </v>
      </c>
      <c r="K24" s="278" t="str">
        <f t="shared" si="0"/>
        <v xml:space="preserve"> </v>
      </c>
      <c r="L24" s="278">
        <f t="shared" si="1"/>
        <v>-9076043.8200000003</v>
      </c>
      <c r="M24" s="843" t="str">
        <f t="shared" si="2"/>
        <v xml:space="preserve"> </v>
      </c>
      <c r="N24" s="843" t="str">
        <f t="shared" si="4"/>
        <v xml:space="preserve"> </v>
      </c>
    </row>
    <row r="25" spans="3:14">
      <c r="C25" s="838" t="s">
        <v>840</v>
      </c>
      <c r="D25" s="839" t="s">
        <v>375</v>
      </c>
      <c r="E25" s="838" t="s">
        <v>1226</v>
      </c>
      <c r="F25"/>
      <c r="G25" s="840" t="s">
        <v>856</v>
      </c>
      <c r="H25" s="1495">
        <v>-53477827.409999996</v>
      </c>
      <c r="I25" s="842" t="s">
        <v>184</v>
      </c>
      <c r="J25" s="843" t="str">
        <f t="shared" si="3"/>
        <v xml:space="preserve"> </v>
      </c>
      <c r="K25" s="278" t="str">
        <f t="shared" si="0"/>
        <v xml:space="preserve"> </v>
      </c>
      <c r="L25" s="278">
        <f t="shared" si="1"/>
        <v>-53477827.409999996</v>
      </c>
      <c r="M25" s="843" t="str">
        <f t="shared" si="2"/>
        <v xml:space="preserve"> </v>
      </c>
      <c r="N25" s="843" t="str">
        <f t="shared" si="4"/>
        <v xml:space="preserve"> </v>
      </c>
    </row>
    <row r="26" spans="3:14">
      <c r="C26" s="838" t="s">
        <v>840</v>
      </c>
      <c r="D26" s="839" t="s">
        <v>375</v>
      </c>
      <c r="E26" s="838" t="s">
        <v>1227</v>
      </c>
      <c r="F26"/>
      <c r="G26" s="840" t="s">
        <v>857</v>
      </c>
      <c r="H26" s="1495">
        <v>-21056811.93</v>
      </c>
      <c r="I26" s="842" t="s">
        <v>184</v>
      </c>
      <c r="J26" s="843" t="str">
        <f t="shared" si="3"/>
        <v xml:space="preserve"> </v>
      </c>
      <c r="K26" s="278" t="str">
        <f t="shared" si="0"/>
        <v xml:space="preserve"> </v>
      </c>
      <c r="L26" s="278">
        <f t="shared" si="1"/>
        <v>-21056811.93</v>
      </c>
      <c r="M26" s="843" t="str">
        <f t="shared" si="2"/>
        <v xml:space="preserve"> </v>
      </c>
      <c r="N26" s="843" t="str">
        <f t="shared" si="4"/>
        <v xml:space="preserve"> </v>
      </c>
    </row>
    <row r="27" spans="3:14">
      <c r="C27" s="838" t="s">
        <v>840</v>
      </c>
      <c r="D27" s="839"/>
      <c r="E27" s="838" t="s">
        <v>1515</v>
      </c>
      <c r="F27"/>
      <c r="G27" s="840" t="s">
        <v>1589</v>
      </c>
      <c r="H27" s="1495">
        <v>-1545967.5</v>
      </c>
      <c r="I27" s="842" t="s">
        <v>184</v>
      </c>
      <c r="J27" s="843" t="str">
        <f t="shared" si="3"/>
        <v xml:space="preserve"> </v>
      </c>
      <c r="K27" s="278" t="str">
        <f t="shared" si="0"/>
        <v xml:space="preserve"> </v>
      </c>
      <c r="L27" s="278">
        <f t="shared" si="1"/>
        <v>-1545967.5</v>
      </c>
      <c r="M27" s="843" t="str">
        <f t="shared" si="2"/>
        <v xml:space="preserve"> </v>
      </c>
      <c r="N27" s="843" t="str">
        <f t="shared" si="4"/>
        <v xml:space="preserve"> </v>
      </c>
    </row>
    <row r="28" spans="3:14">
      <c r="C28" s="838" t="s">
        <v>840</v>
      </c>
      <c r="D28" s="839" t="s">
        <v>375</v>
      </c>
      <c r="E28" s="838" t="s">
        <v>1228</v>
      </c>
      <c r="F28"/>
      <c r="G28" s="840" t="s">
        <v>858</v>
      </c>
      <c r="H28" s="1495">
        <v>-7922917.7999999998</v>
      </c>
      <c r="I28" s="842" t="s">
        <v>184</v>
      </c>
      <c r="J28" s="843" t="str">
        <f t="shared" si="3"/>
        <v xml:space="preserve"> </v>
      </c>
      <c r="K28" s="278" t="str">
        <f t="shared" si="0"/>
        <v xml:space="preserve"> </v>
      </c>
      <c r="L28" s="278">
        <f t="shared" si="1"/>
        <v>-7922917.7999999998</v>
      </c>
      <c r="M28" s="843" t="str">
        <f t="shared" si="2"/>
        <v xml:space="preserve"> </v>
      </c>
      <c r="N28" s="843" t="str">
        <f t="shared" si="4"/>
        <v xml:space="preserve"> </v>
      </c>
    </row>
    <row r="29" spans="3:14">
      <c r="C29" s="1480" t="s">
        <v>840</v>
      </c>
      <c r="D29" s="1496" t="s">
        <v>375</v>
      </c>
      <c r="E29" s="838" t="s">
        <v>1229</v>
      </c>
      <c r="F29"/>
      <c r="G29" s="1497" t="s">
        <v>860</v>
      </c>
      <c r="H29" s="1495">
        <v>-6708347.4000000004</v>
      </c>
      <c r="I29" s="842" t="s">
        <v>184</v>
      </c>
      <c r="J29" s="843" t="str">
        <f t="shared" si="3"/>
        <v xml:space="preserve"> </v>
      </c>
      <c r="K29" s="278" t="str">
        <f t="shared" si="0"/>
        <v xml:space="preserve"> </v>
      </c>
      <c r="L29" s="278">
        <f t="shared" si="1"/>
        <v>-6708347.4000000004</v>
      </c>
      <c r="M29" s="843" t="str">
        <f t="shared" si="2"/>
        <v xml:space="preserve"> </v>
      </c>
      <c r="N29" s="843" t="str">
        <f t="shared" si="4"/>
        <v xml:space="preserve"> </v>
      </c>
    </row>
    <row r="30" spans="3:14">
      <c r="C30" s="838" t="s">
        <v>840</v>
      </c>
      <c r="D30" s="839" t="s">
        <v>375</v>
      </c>
      <c r="E30" s="838" t="s">
        <v>1230</v>
      </c>
      <c r="F30"/>
      <c r="G30" s="840" t="s">
        <v>861</v>
      </c>
      <c r="H30" s="1495">
        <v>-1726995</v>
      </c>
      <c r="I30" s="842" t="s">
        <v>184</v>
      </c>
      <c r="J30" s="843" t="str">
        <f t="shared" si="3"/>
        <v xml:space="preserve"> </v>
      </c>
      <c r="K30" s="278" t="str">
        <f t="shared" si="0"/>
        <v xml:space="preserve"> </v>
      </c>
      <c r="L30" s="278">
        <f t="shared" si="1"/>
        <v>-1726995</v>
      </c>
      <c r="M30" s="843" t="str">
        <f t="shared" si="2"/>
        <v xml:space="preserve"> </v>
      </c>
      <c r="N30" s="843" t="str">
        <f t="shared" si="4"/>
        <v xml:space="preserve"> </v>
      </c>
    </row>
    <row r="31" spans="3:14">
      <c r="C31" s="838" t="s">
        <v>840</v>
      </c>
      <c r="D31" s="839" t="s">
        <v>375</v>
      </c>
      <c r="E31" s="838" t="s">
        <v>1231</v>
      </c>
      <c r="F31"/>
      <c r="G31" s="840" t="s">
        <v>862</v>
      </c>
      <c r="H31" s="1495">
        <v>-13719.6</v>
      </c>
      <c r="I31" s="842" t="s">
        <v>328</v>
      </c>
      <c r="J31" s="843">
        <f t="shared" si="3"/>
        <v>-13719.6</v>
      </c>
      <c r="K31" s="278" t="str">
        <f t="shared" si="0"/>
        <v xml:space="preserve"> </v>
      </c>
      <c r="L31" s="278" t="str">
        <f t="shared" si="1"/>
        <v xml:space="preserve"> </v>
      </c>
      <c r="M31" s="843" t="str">
        <f t="shared" si="2"/>
        <v xml:space="preserve"> </v>
      </c>
      <c r="N31" s="843" t="str">
        <f t="shared" si="4"/>
        <v xml:space="preserve"> </v>
      </c>
    </row>
    <row r="32" spans="3:14">
      <c r="C32" s="838" t="s">
        <v>840</v>
      </c>
      <c r="D32" s="839" t="s">
        <v>375</v>
      </c>
      <c r="E32" s="838" t="s">
        <v>1232</v>
      </c>
      <c r="F32"/>
      <c r="G32" s="840" t="s">
        <v>863</v>
      </c>
      <c r="H32" s="1495">
        <v>3730948.84</v>
      </c>
      <c r="I32" s="842" t="s">
        <v>328</v>
      </c>
      <c r="J32" s="843">
        <f t="shared" si="3"/>
        <v>3730948.84</v>
      </c>
      <c r="K32" s="278" t="str">
        <f t="shared" si="0"/>
        <v xml:space="preserve"> </v>
      </c>
      <c r="L32" s="278" t="str">
        <f t="shared" si="1"/>
        <v xml:space="preserve"> </v>
      </c>
      <c r="M32" s="843" t="str">
        <f t="shared" si="2"/>
        <v xml:space="preserve"> </v>
      </c>
      <c r="N32" s="843" t="str">
        <f t="shared" si="4"/>
        <v xml:space="preserve"> </v>
      </c>
    </row>
    <row r="33" spans="3:14">
      <c r="C33" s="838" t="s">
        <v>840</v>
      </c>
      <c r="D33" s="839" t="s">
        <v>375</v>
      </c>
      <c r="E33" s="838" t="s">
        <v>1233</v>
      </c>
      <c r="F33"/>
      <c r="G33" s="840" t="s">
        <v>864</v>
      </c>
      <c r="H33" s="1495">
        <v>4889.6400000000003</v>
      </c>
      <c r="I33" s="842" t="s">
        <v>337</v>
      </c>
      <c r="J33" s="843" t="str">
        <f t="shared" si="3"/>
        <v xml:space="preserve"> </v>
      </c>
      <c r="K33" s="278" t="str">
        <f t="shared" si="0"/>
        <v xml:space="preserve"> </v>
      </c>
      <c r="L33" s="278" t="str">
        <f t="shared" si="1"/>
        <v xml:space="preserve"> </v>
      </c>
      <c r="M33" s="843" t="str">
        <f t="shared" si="2"/>
        <v xml:space="preserve"> </v>
      </c>
      <c r="N33" s="843">
        <f t="shared" si="4"/>
        <v>4889.6400000000003</v>
      </c>
    </row>
    <row r="34" spans="3:14">
      <c r="C34" s="838" t="s">
        <v>840</v>
      </c>
      <c r="D34" s="839" t="s">
        <v>375</v>
      </c>
      <c r="E34" s="838" t="s">
        <v>1234</v>
      </c>
      <c r="F34"/>
      <c r="G34" s="840" t="s">
        <v>865</v>
      </c>
      <c r="H34" s="1495">
        <v>208389.72</v>
      </c>
      <c r="I34" s="842" t="s">
        <v>184</v>
      </c>
      <c r="J34" s="843" t="str">
        <f t="shared" si="3"/>
        <v xml:space="preserve"> </v>
      </c>
      <c r="K34" s="278" t="str">
        <f t="shared" si="0"/>
        <v xml:space="preserve"> </v>
      </c>
      <c r="L34" s="278">
        <f t="shared" si="1"/>
        <v>208389.72</v>
      </c>
      <c r="M34" s="843" t="str">
        <f t="shared" si="2"/>
        <v xml:space="preserve"> </v>
      </c>
      <c r="N34" s="843" t="str">
        <f t="shared" si="4"/>
        <v xml:space="preserve"> </v>
      </c>
    </row>
    <row r="35" spans="3:14">
      <c r="C35" s="838" t="s">
        <v>840</v>
      </c>
      <c r="D35" s="839" t="s">
        <v>375</v>
      </c>
      <c r="E35" s="838" t="s">
        <v>1235</v>
      </c>
      <c r="F35"/>
      <c r="G35" s="840" t="s">
        <v>866</v>
      </c>
      <c r="H35" s="1495">
        <v>-8361782.4500000002</v>
      </c>
      <c r="I35" s="842" t="s">
        <v>337</v>
      </c>
      <c r="J35" s="843" t="str">
        <f t="shared" si="3"/>
        <v xml:space="preserve"> </v>
      </c>
      <c r="K35" s="278" t="str">
        <f t="shared" si="0"/>
        <v xml:space="preserve"> </v>
      </c>
      <c r="L35" s="278" t="str">
        <f t="shared" si="1"/>
        <v xml:space="preserve"> </v>
      </c>
      <c r="M35" s="843" t="str">
        <f t="shared" si="2"/>
        <v xml:space="preserve"> </v>
      </c>
      <c r="N35" s="843">
        <f t="shared" si="4"/>
        <v>-8361782.4500000002</v>
      </c>
    </row>
    <row r="36" spans="3:14">
      <c r="C36" s="838" t="s">
        <v>840</v>
      </c>
      <c r="D36" s="839" t="s">
        <v>375</v>
      </c>
      <c r="E36" s="838" t="s">
        <v>1236</v>
      </c>
      <c r="F36"/>
      <c r="G36" s="840" t="s">
        <v>867</v>
      </c>
      <c r="H36" s="1495">
        <v>-8507704.8000000007</v>
      </c>
      <c r="I36" s="842" t="s">
        <v>328</v>
      </c>
      <c r="J36" s="843">
        <f t="shared" si="3"/>
        <v>-8507704.8000000007</v>
      </c>
      <c r="K36" s="278" t="str">
        <f t="shared" si="0"/>
        <v xml:space="preserve"> </v>
      </c>
      <c r="L36" s="278" t="str">
        <f t="shared" si="1"/>
        <v xml:space="preserve"> </v>
      </c>
      <c r="M36" s="843" t="str">
        <f t="shared" si="2"/>
        <v xml:space="preserve"> </v>
      </c>
      <c r="N36" s="843" t="str">
        <f t="shared" si="4"/>
        <v xml:space="preserve"> </v>
      </c>
    </row>
    <row r="37" spans="3:14">
      <c r="C37" s="838" t="s">
        <v>840</v>
      </c>
      <c r="D37" s="839" t="s">
        <v>375</v>
      </c>
      <c r="E37" s="838" t="s">
        <v>1237</v>
      </c>
      <c r="F37"/>
      <c r="G37" s="840" t="s">
        <v>868</v>
      </c>
      <c r="H37" s="1495">
        <v>-45634504.469999999</v>
      </c>
      <c r="I37" s="842" t="s">
        <v>184</v>
      </c>
      <c r="J37" s="843" t="str">
        <f t="shared" si="3"/>
        <v xml:space="preserve"> </v>
      </c>
      <c r="K37" s="278" t="str">
        <f t="shared" si="0"/>
        <v xml:space="preserve"> </v>
      </c>
      <c r="L37" s="278">
        <f t="shared" si="1"/>
        <v>-45634504.469999999</v>
      </c>
      <c r="M37" s="843" t="str">
        <f t="shared" si="2"/>
        <v xml:space="preserve"> </v>
      </c>
      <c r="N37" s="843" t="str">
        <f t="shared" si="4"/>
        <v xml:space="preserve"> </v>
      </c>
    </row>
    <row r="38" spans="3:14">
      <c r="C38" s="838" t="s">
        <v>840</v>
      </c>
      <c r="D38" s="839" t="s">
        <v>375</v>
      </c>
      <c r="E38" s="838" t="s">
        <v>1238</v>
      </c>
      <c r="F38"/>
      <c r="G38" s="840" t="s">
        <v>869</v>
      </c>
      <c r="H38" s="1495">
        <v>-6338.46</v>
      </c>
      <c r="I38" s="842" t="s">
        <v>328</v>
      </c>
      <c r="J38" s="843">
        <f t="shared" si="3"/>
        <v>-6338.46</v>
      </c>
      <c r="K38" s="278" t="str">
        <f t="shared" si="0"/>
        <v xml:space="preserve"> </v>
      </c>
      <c r="L38" s="278" t="str">
        <f t="shared" si="1"/>
        <v xml:space="preserve"> </v>
      </c>
      <c r="M38" s="843" t="str">
        <f t="shared" si="2"/>
        <v xml:space="preserve"> </v>
      </c>
      <c r="N38" s="843" t="str">
        <f t="shared" si="4"/>
        <v xml:space="preserve"> </v>
      </c>
    </row>
    <row r="39" spans="3:14">
      <c r="C39" s="838" t="s">
        <v>840</v>
      </c>
      <c r="D39" s="839"/>
      <c r="E39" s="838" t="s">
        <v>1239</v>
      </c>
      <c r="F39"/>
      <c r="G39" s="840" t="s">
        <v>1590</v>
      </c>
      <c r="H39" s="1495">
        <v>0</v>
      </c>
      <c r="I39" s="842" t="s">
        <v>184</v>
      </c>
      <c r="J39" s="843" t="str">
        <f t="shared" si="3"/>
        <v xml:space="preserve"> </v>
      </c>
      <c r="K39" s="278" t="str">
        <f t="shared" si="0"/>
        <v xml:space="preserve"> </v>
      </c>
      <c r="L39" s="278">
        <f t="shared" si="1"/>
        <v>0</v>
      </c>
      <c r="M39" s="843" t="str">
        <f t="shared" si="2"/>
        <v xml:space="preserve"> </v>
      </c>
      <c r="N39" s="843" t="str">
        <f t="shared" si="4"/>
        <v xml:space="preserve"> </v>
      </c>
    </row>
    <row r="40" spans="3:14">
      <c r="C40" s="838" t="s">
        <v>840</v>
      </c>
      <c r="D40" s="839"/>
      <c r="E40" s="838" t="s">
        <v>1239</v>
      </c>
      <c r="F40"/>
      <c r="G40" s="840" t="s">
        <v>1591</v>
      </c>
      <c r="H40" s="1495">
        <v>-83543531</v>
      </c>
      <c r="I40" s="842" t="s">
        <v>184</v>
      </c>
      <c r="J40" s="843" t="str">
        <f t="shared" si="3"/>
        <v xml:space="preserve"> </v>
      </c>
      <c r="K40" s="278" t="str">
        <f t="shared" si="0"/>
        <v xml:space="preserve"> </v>
      </c>
      <c r="L40" s="278">
        <f t="shared" si="1"/>
        <v>-83543531</v>
      </c>
      <c r="M40" s="843" t="str">
        <f t="shared" si="2"/>
        <v xml:space="preserve"> </v>
      </c>
      <c r="N40" s="843" t="str">
        <f t="shared" si="4"/>
        <v xml:space="preserve"> </v>
      </c>
    </row>
    <row r="41" spans="3:14">
      <c r="C41" s="838" t="s">
        <v>840</v>
      </c>
      <c r="D41" s="839"/>
      <c r="E41" s="838" t="s">
        <v>1239</v>
      </c>
      <c r="F41"/>
      <c r="G41" s="840" t="s">
        <v>1592</v>
      </c>
      <c r="H41" s="1495">
        <v>-23513396</v>
      </c>
      <c r="I41" s="842" t="s">
        <v>184</v>
      </c>
      <c r="J41" s="843" t="str">
        <f t="shared" si="3"/>
        <v xml:space="preserve"> </v>
      </c>
      <c r="K41" s="278" t="str">
        <f t="shared" si="0"/>
        <v xml:space="preserve"> </v>
      </c>
      <c r="L41" s="278">
        <f t="shared" si="1"/>
        <v>-23513396</v>
      </c>
      <c r="M41" s="843" t="str">
        <f t="shared" si="2"/>
        <v xml:space="preserve"> </v>
      </c>
      <c r="N41" s="843" t="str">
        <f t="shared" si="4"/>
        <v xml:space="preserve"> </v>
      </c>
    </row>
    <row r="42" spans="3:14">
      <c r="C42" s="838" t="s">
        <v>840</v>
      </c>
      <c r="D42" s="839"/>
      <c r="E42" s="838" t="s">
        <v>1239</v>
      </c>
      <c r="F42"/>
      <c r="G42" s="840" t="s">
        <v>1593</v>
      </c>
      <c r="H42" s="1495">
        <v>-168377491</v>
      </c>
      <c r="I42" s="842" t="s">
        <v>184</v>
      </c>
      <c r="J42" s="843" t="str">
        <f t="shared" si="3"/>
        <v xml:space="preserve"> </v>
      </c>
      <c r="K42" s="278" t="str">
        <f t="shared" si="0"/>
        <v xml:space="preserve"> </v>
      </c>
      <c r="L42" s="278">
        <f t="shared" si="1"/>
        <v>-168377491</v>
      </c>
      <c r="M42" s="843" t="str">
        <f t="shared" si="2"/>
        <v xml:space="preserve"> </v>
      </c>
      <c r="N42" s="843" t="str">
        <f t="shared" si="4"/>
        <v xml:space="preserve"> </v>
      </c>
    </row>
    <row r="43" spans="3:14">
      <c r="C43" s="838" t="s">
        <v>840</v>
      </c>
      <c r="D43" s="839"/>
      <c r="E43" s="838" t="s">
        <v>1239</v>
      </c>
      <c r="F43"/>
      <c r="G43" s="840" t="s">
        <v>1594</v>
      </c>
      <c r="H43" s="1495">
        <v>-203658927</v>
      </c>
      <c r="I43" s="842" t="s">
        <v>184</v>
      </c>
      <c r="J43" s="843" t="str">
        <f t="shared" si="3"/>
        <v xml:space="preserve"> </v>
      </c>
      <c r="K43" s="278" t="str">
        <f t="shared" si="0"/>
        <v xml:space="preserve"> </v>
      </c>
      <c r="L43" s="278">
        <f t="shared" si="1"/>
        <v>-203658927</v>
      </c>
      <c r="M43" s="843" t="str">
        <f t="shared" si="2"/>
        <v xml:space="preserve"> </v>
      </c>
      <c r="N43" s="843" t="str">
        <f t="shared" si="4"/>
        <v xml:space="preserve"> </v>
      </c>
    </row>
    <row r="44" spans="3:14">
      <c r="C44" s="838" t="s">
        <v>840</v>
      </c>
      <c r="D44" s="839"/>
      <c r="E44" s="838" t="s">
        <v>1239</v>
      </c>
      <c r="F44"/>
      <c r="G44" s="840" t="s">
        <v>1595</v>
      </c>
      <c r="H44" s="1495">
        <v>-12330754</v>
      </c>
      <c r="I44" s="842" t="s">
        <v>184</v>
      </c>
      <c r="J44" s="843" t="str">
        <f t="shared" si="3"/>
        <v xml:space="preserve"> </v>
      </c>
      <c r="K44" s="278" t="str">
        <f t="shared" si="0"/>
        <v xml:space="preserve"> </v>
      </c>
      <c r="L44" s="278">
        <f t="shared" si="1"/>
        <v>-12330754</v>
      </c>
      <c r="M44" s="843" t="str">
        <f t="shared" si="2"/>
        <v xml:space="preserve"> </v>
      </c>
      <c r="N44" s="843" t="str">
        <f t="shared" si="4"/>
        <v xml:space="preserve"> </v>
      </c>
    </row>
    <row r="45" spans="3:14">
      <c r="C45" s="838" t="s">
        <v>840</v>
      </c>
      <c r="D45" s="839"/>
      <c r="E45" s="838" t="s">
        <v>1239</v>
      </c>
      <c r="F45"/>
      <c r="G45" s="840" t="s">
        <v>1596</v>
      </c>
      <c r="H45" s="1495">
        <v>-2031014</v>
      </c>
      <c r="I45" s="842" t="s">
        <v>184</v>
      </c>
      <c r="J45" s="843" t="str">
        <f t="shared" si="3"/>
        <v xml:space="preserve"> </v>
      </c>
      <c r="K45" s="278" t="str">
        <f t="shared" si="0"/>
        <v xml:space="preserve"> </v>
      </c>
      <c r="L45" s="278">
        <f t="shared" si="1"/>
        <v>-2031014</v>
      </c>
      <c r="M45" s="843" t="str">
        <f t="shared" si="2"/>
        <v xml:space="preserve"> </v>
      </c>
      <c r="N45" s="843" t="str">
        <f t="shared" si="4"/>
        <v xml:space="preserve"> </v>
      </c>
    </row>
    <row r="46" spans="3:14">
      <c r="C46" s="838" t="s">
        <v>840</v>
      </c>
      <c r="D46" s="839"/>
      <c r="E46" s="838" t="s">
        <v>1239</v>
      </c>
      <c r="F46"/>
      <c r="G46" s="840" t="s">
        <v>1597</v>
      </c>
      <c r="H46" s="1495">
        <v>-19475565</v>
      </c>
      <c r="I46" s="842" t="s">
        <v>184</v>
      </c>
      <c r="J46" s="843" t="str">
        <f t="shared" si="3"/>
        <v xml:space="preserve"> </v>
      </c>
      <c r="K46" s="278" t="str">
        <f t="shared" si="0"/>
        <v xml:space="preserve"> </v>
      </c>
      <c r="L46" s="278">
        <f t="shared" si="1"/>
        <v>-19475565</v>
      </c>
      <c r="M46" s="843" t="str">
        <f t="shared" si="2"/>
        <v xml:space="preserve"> </v>
      </c>
      <c r="N46" s="843" t="str">
        <f t="shared" si="4"/>
        <v xml:space="preserve"> </v>
      </c>
    </row>
    <row r="47" spans="3:14">
      <c r="C47" s="838" t="s">
        <v>840</v>
      </c>
      <c r="D47" s="839"/>
      <c r="E47" s="838" t="s">
        <v>1239</v>
      </c>
      <c r="F47"/>
      <c r="G47" s="840" t="s">
        <v>1598</v>
      </c>
      <c r="H47" s="1495">
        <v>-23629702</v>
      </c>
      <c r="I47" s="842" t="s">
        <v>184</v>
      </c>
      <c r="J47" s="843" t="str">
        <f t="shared" si="3"/>
        <v xml:space="preserve"> </v>
      </c>
      <c r="K47" s="278" t="str">
        <f t="shared" si="0"/>
        <v xml:space="preserve"> </v>
      </c>
      <c r="L47" s="278">
        <f t="shared" si="1"/>
        <v>-23629702</v>
      </c>
      <c r="M47" s="843" t="str">
        <f t="shared" si="2"/>
        <v xml:space="preserve"> </v>
      </c>
      <c r="N47" s="843" t="str">
        <f t="shared" si="4"/>
        <v xml:space="preserve"> </v>
      </c>
    </row>
    <row r="48" spans="3:14">
      <c r="C48" s="838"/>
      <c r="D48" s="839"/>
      <c r="E48" s="838"/>
      <c r="F48"/>
      <c r="G48" s="840"/>
      <c r="H48" s="1495"/>
      <c r="I48" s="842"/>
      <c r="J48" s="843" t="str">
        <f t="shared" si="3"/>
        <v xml:space="preserve"> </v>
      </c>
      <c r="K48" s="278" t="str">
        <f t="shared" si="0"/>
        <v xml:space="preserve"> </v>
      </c>
      <c r="L48" s="278" t="str">
        <f t="shared" si="1"/>
        <v xml:space="preserve"> </v>
      </c>
      <c r="M48" s="843" t="str">
        <f t="shared" si="2"/>
        <v xml:space="preserve"> </v>
      </c>
      <c r="N48" s="843" t="str">
        <f t="shared" si="4"/>
        <v xml:space="preserve"> </v>
      </c>
    </row>
    <row r="49" spans="3:15">
      <c r="C49" s="838" t="s">
        <v>840</v>
      </c>
      <c r="D49" s="839" t="s">
        <v>375</v>
      </c>
      <c r="E49" s="838" t="s">
        <v>1211</v>
      </c>
      <c r="F49"/>
      <c r="G49" s="840" t="s">
        <v>1466</v>
      </c>
      <c r="H49" s="1495">
        <v>-39707717.949999809</v>
      </c>
      <c r="I49" s="842"/>
      <c r="J49" s="1495">
        <v>-441551.18603019975</v>
      </c>
      <c r="K49" s="1495">
        <v>0</v>
      </c>
      <c r="L49" s="1495">
        <v>-38930117.05469203</v>
      </c>
      <c r="M49" s="1495">
        <v>0</v>
      </c>
      <c r="N49" s="1495">
        <v>-336049.70927760378</v>
      </c>
    </row>
    <row r="50" spans="3:15">
      <c r="C50" s="1118"/>
      <c r="D50" s="1119"/>
      <c r="E50" s="1118"/>
      <c r="G50" s="1118"/>
      <c r="H50" s="1120"/>
      <c r="I50" s="1121"/>
      <c r="J50" s="843" t="str">
        <f>IF(I50="e",H50," ")</f>
        <v xml:space="preserve"> </v>
      </c>
      <c r="K50" s="278" t="str">
        <f t="shared" si="0"/>
        <v xml:space="preserve"> </v>
      </c>
      <c r="L50" s="278" t="str">
        <f t="shared" si="1"/>
        <v xml:space="preserve"> </v>
      </c>
      <c r="M50" s="843" t="str">
        <f t="shared" si="2"/>
        <v xml:space="preserve"> </v>
      </c>
      <c r="N50" s="843" t="str">
        <f>IF(I50="Labor",H50," ")</f>
        <v xml:space="preserve"> </v>
      </c>
      <c r="O50" s="1117"/>
    </row>
    <row r="51" spans="3:15" ht="3.75" customHeight="1">
      <c r="C51" s="1118"/>
      <c r="D51" s="1119"/>
      <c r="E51" s="1118"/>
      <c r="G51" s="1118"/>
      <c r="H51" s="1120"/>
      <c r="I51" s="1121"/>
      <c r="J51" s="843"/>
      <c r="K51" s="278"/>
      <c r="L51" s="278"/>
      <c r="M51" s="843"/>
      <c r="N51" s="843"/>
      <c r="O51" s="1117"/>
    </row>
    <row r="52" spans="3:15">
      <c r="C52" s="706">
        <v>282.10000000000002</v>
      </c>
      <c r="D52" s="38"/>
      <c r="G52" s="194" t="s">
        <v>185</v>
      </c>
      <c r="H52" s="1123">
        <f>SUM(H10:H51)</f>
        <v>-1410895282.3599997</v>
      </c>
      <c r="I52" s="278"/>
      <c r="J52" s="1123">
        <f>SUM(J10:J51)</f>
        <v>-15624459.596030202</v>
      </c>
      <c r="K52" s="1123">
        <f>SUM(K10:K51)</f>
        <v>0</v>
      </c>
      <c r="L52" s="1123">
        <f>SUM(L10:L51)</f>
        <v>-1386577880.2446916</v>
      </c>
      <c r="M52" s="1123">
        <f>SUM(M10:M51)</f>
        <v>0</v>
      </c>
      <c r="N52" s="1123">
        <f>SUM(N10:N51)</f>
        <v>-8692942.5192776043</v>
      </c>
      <c r="O52" s="1117"/>
    </row>
    <row r="53" spans="3:15" ht="25.5">
      <c r="G53" s="1271" t="s">
        <v>198</v>
      </c>
      <c r="H53" s="1380"/>
      <c r="I53" s="278"/>
      <c r="J53" s="675"/>
      <c r="K53" s="278"/>
      <c r="L53" s="278"/>
      <c r="M53" s="278"/>
      <c r="N53" s="278"/>
    </row>
    <row r="54" spans="3:15">
      <c r="H54" s="1122"/>
      <c r="I54" s="278"/>
      <c r="J54" s="278"/>
      <c r="K54" s="278"/>
      <c r="L54" s="278"/>
      <c r="M54" s="278"/>
      <c r="N54" s="278"/>
    </row>
    <row r="55" spans="3:15">
      <c r="H55" s="1122"/>
      <c r="I55" s="278"/>
      <c r="J55" s="278"/>
      <c r="K55" s="278"/>
      <c r="L55" s="278"/>
      <c r="M55" s="278"/>
      <c r="N55" s="278"/>
    </row>
    <row r="56" spans="3:15">
      <c r="C56" s="844" t="s">
        <v>870</v>
      </c>
      <c r="D56" s="1377" t="s">
        <v>375</v>
      </c>
      <c r="E56" s="844" t="s">
        <v>1583</v>
      </c>
      <c r="F56" s="855"/>
      <c r="G56" s="844" t="s">
        <v>1586</v>
      </c>
      <c r="H56" s="1495">
        <v>-912562.44</v>
      </c>
      <c r="I56" s="870" t="s">
        <v>328</v>
      </c>
      <c r="J56" s="843">
        <f>IF(I56="e",H56," ")</f>
        <v>-912562.44</v>
      </c>
      <c r="K56" s="278" t="str">
        <f t="shared" ref="K56:K110" si="5">IF($I56="T",$H56," ")</f>
        <v xml:space="preserve"> </v>
      </c>
      <c r="L56" s="278" t="str">
        <f t="shared" ref="L56:L110" si="6">IF($I56="PTD",$H56," ")</f>
        <v xml:space="preserve"> </v>
      </c>
      <c r="M56" s="843" t="str">
        <f t="shared" ref="M56:M110" si="7">IF($I56="T&amp;D",$H56," ")</f>
        <v xml:space="preserve"> </v>
      </c>
      <c r="N56" s="843" t="str">
        <f>IF(I56="Labor",H56," ")</f>
        <v xml:space="preserve"> </v>
      </c>
    </row>
    <row r="57" spans="3:15">
      <c r="C57" s="844" t="s">
        <v>870</v>
      </c>
      <c r="D57" s="1377"/>
      <c r="E57" s="844" t="s">
        <v>1584</v>
      </c>
      <c r="F57" s="855"/>
      <c r="G57" s="844" t="s">
        <v>1587</v>
      </c>
      <c r="H57" s="1495">
        <v>-8319499.04</v>
      </c>
      <c r="I57" s="870" t="s">
        <v>328</v>
      </c>
      <c r="J57" s="843">
        <f t="shared" ref="J57:J110" si="8">IF(I57="e",H57," ")</f>
        <v>-8319499.04</v>
      </c>
      <c r="K57" s="278" t="str">
        <f t="shared" si="5"/>
        <v xml:space="preserve"> </v>
      </c>
      <c r="L57" s="278" t="str">
        <f t="shared" si="6"/>
        <v xml:space="preserve"> </v>
      </c>
      <c r="M57" s="843" t="str">
        <f t="shared" si="7"/>
        <v xml:space="preserve"> </v>
      </c>
      <c r="N57" s="843" t="str">
        <f t="shared" ref="N57:N110" si="9">IF(I57="Labor",H57," ")</f>
        <v xml:space="preserve"> </v>
      </c>
    </row>
    <row r="58" spans="3:15">
      <c r="C58" s="844" t="s">
        <v>870</v>
      </c>
      <c r="D58" s="1377"/>
      <c r="E58" s="844" t="s">
        <v>1585</v>
      </c>
      <c r="F58" s="855"/>
      <c r="G58" s="844" t="s">
        <v>1588</v>
      </c>
      <c r="H58" s="1495">
        <v>-45658.01</v>
      </c>
      <c r="I58" s="870" t="s">
        <v>328</v>
      </c>
      <c r="J58" s="843">
        <f t="shared" si="8"/>
        <v>-45658.01</v>
      </c>
      <c r="K58" s="278" t="str">
        <f t="shared" si="5"/>
        <v xml:space="preserve"> </v>
      </c>
      <c r="L58" s="278" t="str">
        <f t="shared" si="6"/>
        <v xml:space="preserve"> </v>
      </c>
      <c r="M58" s="843" t="str">
        <f t="shared" si="7"/>
        <v xml:space="preserve"> </v>
      </c>
      <c r="N58" s="843" t="str">
        <f t="shared" si="9"/>
        <v xml:space="preserve"> </v>
      </c>
    </row>
    <row r="59" spans="3:15">
      <c r="C59" s="844" t="s">
        <v>870</v>
      </c>
      <c r="D59" s="1377"/>
      <c r="E59" s="844" t="s">
        <v>1240</v>
      </c>
      <c r="F59" s="855"/>
      <c r="G59" s="844" t="s">
        <v>872</v>
      </c>
      <c r="H59" s="1495">
        <v>357968.9</v>
      </c>
      <c r="I59" s="846" t="s">
        <v>328</v>
      </c>
      <c r="J59" s="843">
        <f t="shared" si="8"/>
        <v>357968.9</v>
      </c>
      <c r="K59" s="278" t="str">
        <f t="shared" si="5"/>
        <v xml:space="preserve"> </v>
      </c>
      <c r="L59" s="278" t="str">
        <f t="shared" si="6"/>
        <v xml:space="preserve"> </v>
      </c>
      <c r="M59" s="843" t="str">
        <f t="shared" si="7"/>
        <v xml:space="preserve"> </v>
      </c>
      <c r="N59" s="843" t="str">
        <f t="shared" si="9"/>
        <v xml:space="preserve"> </v>
      </c>
    </row>
    <row r="60" spans="3:15">
      <c r="C60" s="844" t="s">
        <v>870</v>
      </c>
      <c r="D60" s="1377"/>
      <c r="E60" s="844" t="s">
        <v>1241</v>
      </c>
      <c r="F60" s="855"/>
      <c r="G60" s="844" t="s">
        <v>873</v>
      </c>
      <c r="H60" s="1495">
        <v>-3333.49</v>
      </c>
      <c r="I60" s="846" t="s">
        <v>328</v>
      </c>
      <c r="J60" s="843">
        <f t="shared" si="8"/>
        <v>-3333.49</v>
      </c>
      <c r="K60" s="278" t="str">
        <f t="shared" si="5"/>
        <v xml:space="preserve"> </v>
      </c>
      <c r="L60" s="278" t="str">
        <f t="shared" si="6"/>
        <v xml:space="preserve"> </v>
      </c>
      <c r="M60" s="843" t="str">
        <f t="shared" si="7"/>
        <v xml:space="preserve"> </v>
      </c>
      <c r="N60" s="843" t="str">
        <f t="shared" si="9"/>
        <v xml:space="preserve"> </v>
      </c>
    </row>
    <row r="61" spans="3:15">
      <c r="C61" s="844" t="s">
        <v>870</v>
      </c>
      <c r="D61" s="1377" t="s">
        <v>375</v>
      </c>
      <c r="E61" s="844" t="s">
        <v>1242</v>
      </c>
      <c r="F61" s="855"/>
      <c r="G61" s="844" t="s">
        <v>874</v>
      </c>
      <c r="H61" s="1495">
        <v>28096.53</v>
      </c>
      <c r="I61" s="870" t="s">
        <v>328</v>
      </c>
      <c r="J61" s="843">
        <f t="shared" si="8"/>
        <v>28096.53</v>
      </c>
      <c r="K61" s="278" t="str">
        <f t="shared" si="5"/>
        <v xml:space="preserve"> </v>
      </c>
      <c r="L61" s="278" t="str">
        <f t="shared" si="6"/>
        <v xml:space="preserve"> </v>
      </c>
      <c r="M61" s="843" t="str">
        <f t="shared" si="7"/>
        <v xml:space="preserve"> </v>
      </c>
      <c r="N61" s="843" t="str">
        <f t="shared" si="9"/>
        <v xml:space="preserve"> </v>
      </c>
    </row>
    <row r="62" spans="3:15">
      <c r="C62" s="844" t="s">
        <v>870</v>
      </c>
      <c r="D62" s="1377" t="s">
        <v>375</v>
      </c>
      <c r="E62" s="844" t="s">
        <v>1243</v>
      </c>
      <c r="F62" s="855"/>
      <c r="G62" s="844" t="s">
        <v>875</v>
      </c>
      <c r="H62" s="1495">
        <v>-17153328.300000001</v>
      </c>
      <c r="I62" s="870" t="s">
        <v>337</v>
      </c>
      <c r="J62" s="843" t="str">
        <f t="shared" si="8"/>
        <v xml:space="preserve"> </v>
      </c>
      <c r="K62" s="278" t="str">
        <f t="shared" si="5"/>
        <v xml:space="preserve"> </v>
      </c>
      <c r="L62" s="278" t="str">
        <f t="shared" si="6"/>
        <v xml:space="preserve"> </v>
      </c>
      <c r="M62" s="843" t="str">
        <f t="shared" si="7"/>
        <v xml:space="preserve"> </v>
      </c>
      <c r="N62" s="843">
        <f t="shared" si="9"/>
        <v>-17153328.300000001</v>
      </c>
    </row>
    <row r="63" spans="3:15">
      <c r="C63" s="844" t="s">
        <v>870</v>
      </c>
      <c r="D63" s="1377" t="s">
        <v>375</v>
      </c>
      <c r="E63" s="844" t="s">
        <v>1244</v>
      </c>
      <c r="F63" s="855"/>
      <c r="G63" s="844" t="s">
        <v>876</v>
      </c>
      <c r="H63" s="1495">
        <v>19431894.989999998</v>
      </c>
      <c r="I63" s="870" t="s">
        <v>328</v>
      </c>
      <c r="J63" s="843">
        <f t="shared" si="8"/>
        <v>19431894.989999998</v>
      </c>
      <c r="K63" s="278" t="str">
        <f t="shared" si="5"/>
        <v xml:space="preserve"> </v>
      </c>
      <c r="L63" s="278" t="str">
        <f t="shared" si="6"/>
        <v xml:space="preserve"> </v>
      </c>
      <c r="M63" s="843" t="str">
        <f t="shared" si="7"/>
        <v xml:space="preserve"> </v>
      </c>
      <c r="N63" s="843" t="str">
        <f t="shared" si="9"/>
        <v xml:space="preserve"> </v>
      </c>
    </row>
    <row r="64" spans="3:15">
      <c r="C64" s="844" t="s">
        <v>870</v>
      </c>
      <c r="D64" s="1377"/>
      <c r="E64" s="844" t="s">
        <v>1599</v>
      </c>
      <c r="F64" s="855"/>
      <c r="G64" s="844" t="s">
        <v>1600</v>
      </c>
      <c r="H64" s="1495">
        <v>-0.01</v>
      </c>
      <c r="I64" s="870" t="s">
        <v>328</v>
      </c>
      <c r="J64" s="843">
        <f t="shared" si="8"/>
        <v>-0.01</v>
      </c>
      <c r="K64" s="278" t="str">
        <f t="shared" si="5"/>
        <v xml:space="preserve"> </v>
      </c>
      <c r="L64" s="278" t="str">
        <f t="shared" si="6"/>
        <v xml:space="preserve"> </v>
      </c>
      <c r="M64" s="843" t="str">
        <f t="shared" si="7"/>
        <v xml:space="preserve"> </v>
      </c>
      <c r="N64" s="843" t="str">
        <f t="shared" si="9"/>
        <v xml:space="preserve"> </v>
      </c>
    </row>
    <row r="65" spans="3:14">
      <c r="C65" s="844" t="s">
        <v>870</v>
      </c>
      <c r="D65" s="1377" t="s">
        <v>375</v>
      </c>
      <c r="E65" s="844" t="s">
        <v>1245</v>
      </c>
      <c r="F65" s="855"/>
      <c r="G65" s="844" t="s">
        <v>877</v>
      </c>
      <c r="H65" s="1495">
        <v>4.21</v>
      </c>
      <c r="I65" s="870" t="s">
        <v>328</v>
      </c>
      <c r="J65" s="843">
        <f t="shared" si="8"/>
        <v>4.21</v>
      </c>
      <c r="K65" s="278" t="str">
        <f t="shared" si="5"/>
        <v xml:space="preserve"> </v>
      </c>
      <c r="L65" s="278" t="str">
        <f t="shared" si="6"/>
        <v xml:space="preserve"> </v>
      </c>
      <c r="M65" s="843" t="str">
        <f t="shared" si="7"/>
        <v xml:space="preserve"> </v>
      </c>
      <c r="N65" s="843" t="str">
        <f t="shared" si="9"/>
        <v xml:space="preserve"> </v>
      </c>
    </row>
    <row r="66" spans="3:14">
      <c r="C66" s="844" t="s">
        <v>870</v>
      </c>
      <c r="D66" s="1377" t="s">
        <v>375</v>
      </c>
      <c r="E66" s="844" t="s">
        <v>1246</v>
      </c>
      <c r="F66" s="855"/>
      <c r="G66" s="844" t="s">
        <v>878</v>
      </c>
      <c r="H66" s="1495">
        <v>-1177964.1200000001</v>
      </c>
      <c r="I66" s="870" t="s">
        <v>328</v>
      </c>
      <c r="J66" s="843">
        <f t="shared" si="8"/>
        <v>-1177964.1200000001</v>
      </c>
      <c r="K66" s="278" t="str">
        <f t="shared" si="5"/>
        <v xml:space="preserve"> </v>
      </c>
      <c r="L66" s="278" t="str">
        <f t="shared" si="6"/>
        <v xml:space="preserve"> </v>
      </c>
      <c r="M66" s="843" t="str">
        <f t="shared" si="7"/>
        <v xml:space="preserve"> </v>
      </c>
      <c r="N66" s="843" t="str">
        <f t="shared" si="9"/>
        <v xml:space="preserve"> </v>
      </c>
    </row>
    <row r="67" spans="3:14">
      <c r="C67" s="844" t="s">
        <v>870</v>
      </c>
      <c r="D67" s="1377" t="s">
        <v>375</v>
      </c>
      <c r="E67" s="844" t="s">
        <v>1247</v>
      </c>
      <c r="F67" s="855"/>
      <c r="G67" s="844" t="s">
        <v>879</v>
      </c>
      <c r="H67" s="1495">
        <v>-0.01</v>
      </c>
      <c r="I67" s="870" t="s">
        <v>328</v>
      </c>
      <c r="J67" s="843">
        <f t="shared" si="8"/>
        <v>-0.01</v>
      </c>
      <c r="K67" s="278" t="str">
        <f t="shared" si="5"/>
        <v xml:space="preserve"> </v>
      </c>
      <c r="L67" s="278" t="str">
        <f t="shared" si="6"/>
        <v xml:space="preserve"> </v>
      </c>
      <c r="M67" s="843" t="str">
        <f t="shared" si="7"/>
        <v xml:space="preserve"> </v>
      </c>
      <c r="N67" s="843" t="str">
        <f t="shared" si="9"/>
        <v xml:space="preserve"> </v>
      </c>
    </row>
    <row r="68" spans="3:14">
      <c r="C68" s="844" t="s">
        <v>870</v>
      </c>
      <c r="D68" s="1377" t="s">
        <v>375</v>
      </c>
      <c r="E68" s="844" t="s">
        <v>1248</v>
      </c>
      <c r="F68" s="855"/>
      <c r="G68" s="844" t="s">
        <v>880</v>
      </c>
      <c r="H68" s="1495">
        <v>-887.33</v>
      </c>
      <c r="I68" s="870" t="s">
        <v>328</v>
      </c>
      <c r="J68" s="843">
        <f t="shared" si="8"/>
        <v>-887.33</v>
      </c>
      <c r="K68" s="278" t="str">
        <f t="shared" si="5"/>
        <v xml:space="preserve"> </v>
      </c>
      <c r="L68" s="278" t="str">
        <f t="shared" si="6"/>
        <v xml:space="preserve"> </v>
      </c>
      <c r="M68" s="843" t="str">
        <f t="shared" si="7"/>
        <v xml:space="preserve"> </v>
      </c>
      <c r="N68" s="843" t="str">
        <f t="shared" si="9"/>
        <v xml:space="preserve"> </v>
      </c>
    </row>
    <row r="69" spans="3:14">
      <c r="C69" s="844" t="s">
        <v>870</v>
      </c>
      <c r="D69" s="1377" t="s">
        <v>375</v>
      </c>
      <c r="E69" s="844" t="s">
        <v>1249</v>
      </c>
      <c r="F69" s="855"/>
      <c r="G69" s="844" t="s">
        <v>881</v>
      </c>
      <c r="H69" s="1495">
        <v>0.03</v>
      </c>
      <c r="I69" s="870" t="s">
        <v>328</v>
      </c>
      <c r="J69" s="843">
        <f t="shared" si="8"/>
        <v>0.03</v>
      </c>
      <c r="K69" s="278" t="str">
        <f t="shared" si="5"/>
        <v xml:space="preserve"> </v>
      </c>
      <c r="L69" s="278" t="str">
        <f t="shared" si="6"/>
        <v xml:space="preserve"> </v>
      </c>
      <c r="M69" s="843" t="str">
        <f t="shared" si="7"/>
        <v xml:space="preserve"> </v>
      </c>
      <c r="N69" s="843" t="str">
        <f t="shared" si="9"/>
        <v xml:space="preserve"> </v>
      </c>
    </row>
    <row r="70" spans="3:14">
      <c r="C70" s="844" t="s">
        <v>870</v>
      </c>
      <c r="D70" s="1377" t="s">
        <v>375</v>
      </c>
      <c r="E70" s="844" t="s">
        <v>1250</v>
      </c>
      <c r="F70" s="855"/>
      <c r="G70" s="844" t="s">
        <v>882</v>
      </c>
      <c r="H70" s="1495">
        <v>-1152506.08</v>
      </c>
      <c r="I70" s="870" t="s">
        <v>328</v>
      </c>
      <c r="J70" s="843">
        <f t="shared" si="8"/>
        <v>-1152506.08</v>
      </c>
      <c r="K70" s="278" t="str">
        <f t="shared" si="5"/>
        <v xml:space="preserve"> </v>
      </c>
      <c r="L70" s="278" t="str">
        <f t="shared" si="6"/>
        <v xml:space="preserve"> </v>
      </c>
      <c r="M70" s="843" t="str">
        <f t="shared" si="7"/>
        <v xml:space="preserve"> </v>
      </c>
      <c r="N70" s="843" t="str">
        <f t="shared" si="9"/>
        <v xml:space="preserve"> </v>
      </c>
    </row>
    <row r="71" spans="3:14">
      <c r="C71" s="844" t="s">
        <v>870</v>
      </c>
      <c r="D71" s="1377"/>
      <c r="E71" s="844" t="s">
        <v>1601</v>
      </c>
      <c r="F71" s="855"/>
      <c r="G71" s="844" t="s">
        <v>1602</v>
      </c>
      <c r="H71" s="1495">
        <v>-0.01</v>
      </c>
      <c r="I71" s="870" t="s">
        <v>328</v>
      </c>
      <c r="J71" s="843">
        <f t="shared" si="8"/>
        <v>-0.01</v>
      </c>
      <c r="K71" s="278" t="str">
        <f t="shared" si="5"/>
        <v xml:space="preserve"> </v>
      </c>
      <c r="L71" s="278" t="str">
        <f t="shared" si="6"/>
        <v xml:space="preserve"> </v>
      </c>
      <c r="M71" s="843" t="str">
        <f t="shared" si="7"/>
        <v xml:space="preserve"> </v>
      </c>
      <c r="N71" s="843" t="str">
        <f t="shared" si="9"/>
        <v xml:space="preserve"> </v>
      </c>
    </row>
    <row r="72" spans="3:14">
      <c r="C72" s="844" t="s">
        <v>870</v>
      </c>
      <c r="D72" s="1377" t="s">
        <v>375</v>
      </c>
      <c r="E72" s="844" t="s">
        <v>1251</v>
      </c>
      <c r="F72" s="855"/>
      <c r="G72" s="844" t="s">
        <v>883</v>
      </c>
      <c r="H72" s="1495">
        <v>-19431895.289999999</v>
      </c>
      <c r="I72" s="870" t="s">
        <v>328</v>
      </c>
      <c r="J72" s="843">
        <f t="shared" si="8"/>
        <v>-19431895.289999999</v>
      </c>
      <c r="K72" s="278" t="str">
        <f t="shared" si="5"/>
        <v xml:space="preserve"> </v>
      </c>
      <c r="L72" s="278" t="str">
        <f t="shared" si="6"/>
        <v xml:space="preserve"> </v>
      </c>
      <c r="M72" s="843" t="str">
        <f t="shared" si="7"/>
        <v xml:space="preserve"> </v>
      </c>
      <c r="N72" s="843" t="str">
        <f t="shared" si="9"/>
        <v xml:space="preserve"> </v>
      </c>
    </row>
    <row r="73" spans="3:14">
      <c r="C73" s="844" t="s">
        <v>870</v>
      </c>
      <c r="D73" s="1377" t="s">
        <v>375</v>
      </c>
      <c r="E73" s="844" t="s">
        <v>1252</v>
      </c>
      <c r="F73" s="855"/>
      <c r="G73" s="844" t="s">
        <v>884</v>
      </c>
      <c r="H73" s="1495">
        <v>-228228.36</v>
      </c>
      <c r="I73" s="870" t="s">
        <v>328</v>
      </c>
      <c r="J73" s="843">
        <f t="shared" si="8"/>
        <v>-228228.36</v>
      </c>
      <c r="K73" s="278" t="str">
        <f t="shared" si="5"/>
        <v xml:space="preserve"> </v>
      </c>
      <c r="L73" s="278" t="str">
        <f t="shared" si="6"/>
        <v xml:space="preserve"> </v>
      </c>
      <c r="M73" s="843" t="str">
        <f t="shared" si="7"/>
        <v xml:space="preserve"> </v>
      </c>
      <c r="N73" s="843" t="str">
        <f t="shared" si="9"/>
        <v xml:space="preserve"> </v>
      </c>
    </row>
    <row r="74" spans="3:14">
      <c r="C74" s="844" t="s">
        <v>870</v>
      </c>
      <c r="D74" s="1377" t="s">
        <v>375</v>
      </c>
      <c r="E74" s="844" t="s">
        <v>1253</v>
      </c>
      <c r="F74" s="855"/>
      <c r="G74" s="844" t="s">
        <v>885</v>
      </c>
      <c r="H74" s="1495">
        <v>343307.39</v>
      </c>
      <c r="I74" s="870" t="s">
        <v>328</v>
      </c>
      <c r="J74" s="843">
        <f t="shared" si="8"/>
        <v>343307.39</v>
      </c>
      <c r="K74" s="278" t="str">
        <f t="shared" si="5"/>
        <v xml:space="preserve"> </v>
      </c>
      <c r="L74" s="278" t="str">
        <f t="shared" si="6"/>
        <v xml:space="preserve"> </v>
      </c>
      <c r="M74" s="843" t="str">
        <f t="shared" si="7"/>
        <v xml:space="preserve"> </v>
      </c>
      <c r="N74" s="843" t="str">
        <f t="shared" si="9"/>
        <v xml:space="preserve"> </v>
      </c>
    </row>
    <row r="75" spans="3:14">
      <c r="C75" s="844" t="s">
        <v>870</v>
      </c>
      <c r="D75" s="1377" t="s">
        <v>375</v>
      </c>
      <c r="E75" s="844" t="s">
        <v>1254</v>
      </c>
      <c r="F75" s="855"/>
      <c r="G75" s="844" t="s">
        <v>886</v>
      </c>
      <c r="H75" s="1495">
        <v>-45356.45</v>
      </c>
      <c r="I75" s="870" t="s">
        <v>328</v>
      </c>
      <c r="J75" s="843">
        <f t="shared" si="8"/>
        <v>-45356.45</v>
      </c>
      <c r="K75" s="278" t="str">
        <f t="shared" si="5"/>
        <v xml:space="preserve"> </v>
      </c>
      <c r="L75" s="278" t="str">
        <f t="shared" si="6"/>
        <v xml:space="preserve"> </v>
      </c>
      <c r="M75" s="843" t="str">
        <f t="shared" si="7"/>
        <v xml:space="preserve"> </v>
      </c>
      <c r="N75" s="843" t="str">
        <f t="shared" si="9"/>
        <v xml:space="preserve"> </v>
      </c>
    </row>
    <row r="76" spans="3:14">
      <c r="C76" s="844" t="s">
        <v>870</v>
      </c>
      <c r="D76" s="1377" t="s">
        <v>375</v>
      </c>
      <c r="E76" s="844" t="s">
        <v>1255</v>
      </c>
      <c r="F76" s="855"/>
      <c r="G76" s="844" t="s">
        <v>887</v>
      </c>
      <c r="H76" s="1495">
        <v>0</v>
      </c>
      <c r="I76" s="870" t="s">
        <v>328</v>
      </c>
      <c r="J76" s="843">
        <f t="shared" si="8"/>
        <v>0</v>
      </c>
      <c r="K76" s="278" t="str">
        <f t="shared" si="5"/>
        <v xml:space="preserve"> </v>
      </c>
      <c r="L76" s="278" t="str">
        <f t="shared" si="6"/>
        <v xml:space="preserve"> </v>
      </c>
      <c r="M76" s="843" t="str">
        <f t="shared" si="7"/>
        <v xml:space="preserve"> </v>
      </c>
      <c r="N76" s="843" t="str">
        <f t="shared" si="9"/>
        <v xml:space="preserve"> </v>
      </c>
    </row>
    <row r="77" spans="3:14">
      <c r="C77" s="844" t="s">
        <v>870</v>
      </c>
      <c r="D77" s="1377" t="s">
        <v>375</v>
      </c>
      <c r="E77" s="844" t="s">
        <v>1256</v>
      </c>
      <c r="F77" s="855"/>
      <c r="G77" s="844" t="s">
        <v>888</v>
      </c>
      <c r="H77" s="1495">
        <v>0.04</v>
      </c>
      <c r="I77" s="870" t="s">
        <v>328</v>
      </c>
      <c r="J77" s="843">
        <f t="shared" si="8"/>
        <v>0.04</v>
      </c>
      <c r="K77" s="278" t="str">
        <f t="shared" si="5"/>
        <v xml:space="preserve"> </v>
      </c>
      <c r="L77" s="278" t="str">
        <f t="shared" si="6"/>
        <v xml:space="preserve"> </v>
      </c>
      <c r="M77" s="843" t="str">
        <f t="shared" si="7"/>
        <v xml:space="preserve"> </v>
      </c>
      <c r="N77" s="843" t="str">
        <f t="shared" si="9"/>
        <v xml:space="preserve"> </v>
      </c>
    </row>
    <row r="78" spans="3:14">
      <c r="C78" s="844" t="s">
        <v>870</v>
      </c>
      <c r="D78" s="1377" t="s">
        <v>375</v>
      </c>
      <c r="E78" s="844" t="s">
        <v>1257</v>
      </c>
      <c r="F78" s="855"/>
      <c r="G78" s="844" t="s">
        <v>889</v>
      </c>
      <c r="H78" s="1495">
        <v>-0.06</v>
      </c>
      <c r="I78" s="870" t="s">
        <v>328</v>
      </c>
      <c r="J78" s="843">
        <f t="shared" si="8"/>
        <v>-0.06</v>
      </c>
      <c r="K78" s="278" t="str">
        <f t="shared" si="5"/>
        <v xml:space="preserve"> </v>
      </c>
      <c r="L78" s="278" t="str">
        <f t="shared" si="6"/>
        <v xml:space="preserve"> </v>
      </c>
      <c r="M78" s="843" t="str">
        <f t="shared" si="7"/>
        <v xml:space="preserve"> </v>
      </c>
      <c r="N78" s="843" t="str">
        <f t="shared" si="9"/>
        <v xml:space="preserve"> </v>
      </c>
    </row>
    <row r="79" spans="3:14">
      <c r="C79" s="844" t="s">
        <v>870</v>
      </c>
      <c r="D79" s="1377" t="s">
        <v>375</v>
      </c>
      <c r="E79" s="844" t="s">
        <v>1258</v>
      </c>
      <c r="F79" s="855"/>
      <c r="G79" s="844" t="s">
        <v>890</v>
      </c>
      <c r="H79" s="1495">
        <v>-93840.33</v>
      </c>
      <c r="I79" s="870" t="s">
        <v>328</v>
      </c>
      <c r="J79" s="843">
        <f t="shared" si="8"/>
        <v>-93840.33</v>
      </c>
      <c r="K79" s="278" t="str">
        <f t="shared" si="5"/>
        <v xml:space="preserve"> </v>
      </c>
      <c r="L79" s="278" t="str">
        <f t="shared" si="6"/>
        <v xml:space="preserve"> </v>
      </c>
      <c r="M79" s="843" t="str">
        <f t="shared" si="7"/>
        <v xml:space="preserve"> </v>
      </c>
      <c r="N79" s="843" t="str">
        <f t="shared" si="9"/>
        <v xml:space="preserve"> </v>
      </c>
    </row>
    <row r="80" spans="3:14">
      <c r="C80" s="844" t="s">
        <v>870</v>
      </c>
      <c r="D80" s="1377" t="s">
        <v>375</v>
      </c>
      <c r="E80" s="844" t="s">
        <v>1259</v>
      </c>
      <c r="F80" s="855"/>
      <c r="G80" s="844" t="s">
        <v>891</v>
      </c>
      <c r="H80" s="1495">
        <v>-0.06</v>
      </c>
      <c r="I80" s="870" t="s">
        <v>328</v>
      </c>
      <c r="J80" s="843">
        <f t="shared" si="8"/>
        <v>-0.06</v>
      </c>
      <c r="K80" s="278" t="str">
        <f t="shared" si="5"/>
        <v xml:space="preserve"> </v>
      </c>
      <c r="L80" s="278" t="str">
        <f t="shared" si="6"/>
        <v xml:space="preserve"> </v>
      </c>
      <c r="M80" s="843" t="str">
        <f t="shared" si="7"/>
        <v xml:space="preserve"> </v>
      </c>
      <c r="N80" s="843" t="str">
        <f t="shared" si="9"/>
        <v xml:space="preserve"> </v>
      </c>
    </row>
    <row r="81" spans="3:14">
      <c r="C81" s="844" t="s">
        <v>870</v>
      </c>
      <c r="D81" s="1377" t="s">
        <v>375</v>
      </c>
      <c r="E81" s="844" t="s">
        <v>1260</v>
      </c>
      <c r="F81" s="855"/>
      <c r="G81" s="844" t="s">
        <v>892</v>
      </c>
      <c r="H81" s="1495">
        <v>0</v>
      </c>
      <c r="I81" s="870" t="s">
        <v>328</v>
      </c>
      <c r="J81" s="843">
        <f t="shared" si="8"/>
        <v>0</v>
      </c>
      <c r="K81" s="278" t="str">
        <f t="shared" si="5"/>
        <v xml:space="preserve"> </v>
      </c>
      <c r="L81" s="278" t="str">
        <f t="shared" si="6"/>
        <v xml:space="preserve"> </v>
      </c>
      <c r="M81" s="843" t="str">
        <f t="shared" si="7"/>
        <v xml:space="preserve"> </v>
      </c>
      <c r="N81" s="843" t="str">
        <f t="shared" si="9"/>
        <v xml:space="preserve"> </v>
      </c>
    </row>
    <row r="82" spans="3:14">
      <c r="C82" s="844" t="s">
        <v>870</v>
      </c>
      <c r="D82" s="1377"/>
      <c r="E82" s="844" t="s">
        <v>1603</v>
      </c>
      <c r="F82" s="855"/>
      <c r="G82" s="844" t="s">
        <v>1604</v>
      </c>
      <c r="H82" s="1495">
        <v>-293252.49</v>
      </c>
      <c r="I82" s="870" t="s">
        <v>328</v>
      </c>
      <c r="J82" s="843">
        <f t="shared" si="8"/>
        <v>-293252.49</v>
      </c>
      <c r="K82" s="278" t="str">
        <f t="shared" si="5"/>
        <v xml:space="preserve"> </v>
      </c>
      <c r="L82" s="278" t="str">
        <f t="shared" si="6"/>
        <v xml:space="preserve"> </v>
      </c>
      <c r="M82" s="843" t="str">
        <f t="shared" si="7"/>
        <v xml:space="preserve"> </v>
      </c>
      <c r="N82" s="843" t="str">
        <f t="shared" si="9"/>
        <v xml:space="preserve"> </v>
      </c>
    </row>
    <row r="83" spans="3:14">
      <c r="C83" s="844" t="s">
        <v>870</v>
      </c>
      <c r="D83" s="1377" t="s">
        <v>375</v>
      </c>
      <c r="E83" s="844" t="s">
        <v>1261</v>
      </c>
      <c r="F83" s="855"/>
      <c r="G83" s="844" t="s">
        <v>893</v>
      </c>
      <c r="H83" s="1495">
        <v>-485341.04</v>
      </c>
      <c r="I83" s="870" t="s">
        <v>328</v>
      </c>
      <c r="J83" s="843">
        <f t="shared" si="8"/>
        <v>-485341.04</v>
      </c>
      <c r="K83" s="278" t="str">
        <f t="shared" si="5"/>
        <v xml:space="preserve"> </v>
      </c>
      <c r="L83" s="278" t="str">
        <f t="shared" si="6"/>
        <v xml:space="preserve"> </v>
      </c>
      <c r="M83" s="843" t="str">
        <f t="shared" si="7"/>
        <v xml:space="preserve"> </v>
      </c>
      <c r="N83" s="843" t="str">
        <f t="shared" si="9"/>
        <v xml:space="preserve"> </v>
      </c>
    </row>
    <row r="84" spans="3:14">
      <c r="C84" s="844" t="s">
        <v>870</v>
      </c>
      <c r="D84" s="1377" t="s">
        <v>375</v>
      </c>
      <c r="E84" s="844" t="s">
        <v>1262</v>
      </c>
      <c r="F84" s="855"/>
      <c r="G84" s="844" t="s">
        <v>894</v>
      </c>
      <c r="H84" s="1495">
        <v>0.01</v>
      </c>
      <c r="I84" s="870" t="s">
        <v>328</v>
      </c>
      <c r="J84" s="843">
        <f t="shared" si="8"/>
        <v>0.01</v>
      </c>
      <c r="K84" s="278" t="str">
        <f t="shared" si="5"/>
        <v xml:space="preserve"> </v>
      </c>
      <c r="L84" s="278" t="str">
        <f t="shared" si="6"/>
        <v xml:space="preserve"> </v>
      </c>
      <c r="M84" s="843" t="str">
        <f t="shared" si="7"/>
        <v xml:space="preserve"> </v>
      </c>
      <c r="N84" s="843" t="str">
        <f t="shared" si="9"/>
        <v xml:space="preserve"> </v>
      </c>
    </row>
    <row r="85" spans="3:14">
      <c r="C85" s="844" t="s">
        <v>870</v>
      </c>
      <c r="D85" s="1377" t="s">
        <v>375</v>
      </c>
      <c r="E85" s="844" t="s">
        <v>1263</v>
      </c>
      <c r="F85" s="855"/>
      <c r="G85" s="844" t="s">
        <v>895</v>
      </c>
      <c r="H85" s="1495">
        <v>-609331.56999999995</v>
      </c>
      <c r="I85" s="870" t="s">
        <v>328</v>
      </c>
      <c r="J85" s="843">
        <f t="shared" si="8"/>
        <v>-609331.56999999995</v>
      </c>
      <c r="K85" s="278" t="str">
        <f t="shared" si="5"/>
        <v xml:space="preserve"> </v>
      </c>
      <c r="L85" s="278" t="str">
        <f t="shared" si="6"/>
        <v xml:space="preserve"> </v>
      </c>
      <c r="M85" s="843" t="str">
        <f t="shared" si="7"/>
        <v xml:space="preserve"> </v>
      </c>
      <c r="N85" s="843" t="str">
        <f t="shared" si="9"/>
        <v xml:space="preserve"> </v>
      </c>
    </row>
    <row r="86" spans="3:14">
      <c r="C86" s="844" t="s">
        <v>870</v>
      </c>
      <c r="D86" s="1377" t="s">
        <v>375</v>
      </c>
      <c r="E86" s="844" t="s">
        <v>1264</v>
      </c>
      <c r="F86" s="855"/>
      <c r="G86" s="844" t="s">
        <v>896</v>
      </c>
      <c r="H86" s="1495">
        <v>-160493.76000000001</v>
      </c>
      <c r="I86" s="870" t="s">
        <v>328</v>
      </c>
      <c r="J86" s="843">
        <f t="shared" si="8"/>
        <v>-160493.76000000001</v>
      </c>
      <c r="K86" s="278" t="str">
        <f t="shared" si="5"/>
        <v xml:space="preserve"> </v>
      </c>
      <c r="L86" s="278" t="str">
        <f t="shared" si="6"/>
        <v xml:space="preserve"> </v>
      </c>
      <c r="M86" s="843" t="str">
        <f t="shared" si="7"/>
        <v xml:space="preserve"> </v>
      </c>
      <c r="N86" s="843" t="str">
        <f t="shared" si="9"/>
        <v xml:space="preserve"> </v>
      </c>
    </row>
    <row r="87" spans="3:14">
      <c r="C87" s="844" t="s">
        <v>870</v>
      </c>
      <c r="D87" s="1377" t="s">
        <v>375</v>
      </c>
      <c r="E87" s="844" t="s">
        <v>1265</v>
      </c>
      <c r="F87" s="855"/>
      <c r="G87" s="844" t="s">
        <v>897</v>
      </c>
      <c r="H87" s="1495">
        <v>-4687826.58</v>
      </c>
      <c r="I87" s="870" t="s">
        <v>328</v>
      </c>
      <c r="J87" s="843">
        <f t="shared" si="8"/>
        <v>-4687826.58</v>
      </c>
      <c r="K87" s="278" t="str">
        <f t="shared" si="5"/>
        <v xml:space="preserve"> </v>
      </c>
      <c r="L87" s="278" t="str">
        <f t="shared" si="6"/>
        <v xml:space="preserve"> </v>
      </c>
      <c r="M87" s="843" t="str">
        <f t="shared" si="7"/>
        <v xml:space="preserve"> </v>
      </c>
      <c r="N87" s="843" t="str">
        <f t="shared" si="9"/>
        <v xml:space="preserve"> </v>
      </c>
    </row>
    <row r="88" spans="3:14">
      <c r="C88" s="844" t="s">
        <v>870</v>
      </c>
      <c r="D88" s="1377" t="s">
        <v>375</v>
      </c>
      <c r="E88" s="844" t="s">
        <v>1266</v>
      </c>
      <c r="F88" s="855"/>
      <c r="G88" s="844" t="s">
        <v>898</v>
      </c>
      <c r="H88" s="1495">
        <v>1639669.12</v>
      </c>
      <c r="I88" s="870" t="s">
        <v>328</v>
      </c>
      <c r="J88" s="843">
        <f t="shared" si="8"/>
        <v>1639669.12</v>
      </c>
      <c r="K88" s="278" t="str">
        <f t="shared" si="5"/>
        <v xml:space="preserve"> </v>
      </c>
      <c r="L88" s="278" t="str">
        <f t="shared" si="6"/>
        <v xml:space="preserve"> </v>
      </c>
      <c r="M88" s="843" t="str">
        <f t="shared" si="7"/>
        <v xml:space="preserve"> </v>
      </c>
      <c r="N88" s="843" t="str">
        <f t="shared" si="9"/>
        <v xml:space="preserve"> </v>
      </c>
    </row>
    <row r="89" spans="3:14">
      <c r="C89" s="844" t="s">
        <v>870</v>
      </c>
      <c r="D89" s="1377"/>
      <c r="E89" s="844" t="s">
        <v>1605</v>
      </c>
      <c r="F89" s="855"/>
      <c r="G89" s="844" t="s">
        <v>1606</v>
      </c>
      <c r="H89" s="1495">
        <v>-1025415.14</v>
      </c>
      <c r="I89" s="870" t="s">
        <v>328</v>
      </c>
      <c r="J89" s="843">
        <f t="shared" si="8"/>
        <v>-1025415.14</v>
      </c>
      <c r="K89" s="278" t="str">
        <f t="shared" si="5"/>
        <v xml:space="preserve"> </v>
      </c>
      <c r="L89" s="278" t="str">
        <f t="shared" si="6"/>
        <v xml:space="preserve"> </v>
      </c>
      <c r="M89" s="843" t="str">
        <f t="shared" si="7"/>
        <v xml:space="preserve"> </v>
      </c>
      <c r="N89" s="843" t="str">
        <f t="shared" si="9"/>
        <v xml:space="preserve"> </v>
      </c>
    </row>
    <row r="90" spans="3:14">
      <c r="C90" s="844" t="s">
        <v>870</v>
      </c>
      <c r="D90" s="1377"/>
      <c r="E90" s="844" t="s">
        <v>1607</v>
      </c>
      <c r="F90" s="855"/>
      <c r="G90" s="844" t="s">
        <v>1608</v>
      </c>
      <c r="H90" s="1495">
        <v>55971.29</v>
      </c>
      <c r="I90" s="870" t="s">
        <v>328</v>
      </c>
      <c r="J90" s="843">
        <f t="shared" si="8"/>
        <v>55971.29</v>
      </c>
      <c r="K90" s="278" t="str">
        <f t="shared" si="5"/>
        <v xml:space="preserve"> </v>
      </c>
      <c r="L90" s="278" t="str">
        <f t="shared" si="6"/>
        <v xml:space="preserve"> </v>
      </c>
      <c r="M90" s="843" t="str">
        <f t="shared" si="7"/>
        <v xml:space="preserve"> </v>
      </c>
      <c r="N90" s="843" t="str">
        <f t="shared" si="9"/>
        <v xml:space="preserve"> </v>
      </c>
    </row>
    <row r="91" spans="3:14">
      <c r="C91" s="844" t="s">
        <v>870</v>
      </c>
      <c r="D91" s="1377"/>
      <c r="E91" s="844" t="s">
        <v>1609</v>
      </c>
      <c r="F91" s="855"/>
      <c r="G91" s="844" t="s">
        <v>1610</v>
      </c>
      <c r="H91" s="1495">
        <v>-3614219.77</v>
      </c>
      <c r="I91" s="870" t="s">
        <v>328</v>
      </c>
      <c r="J91" s="843">
        <f t="shared" si="8"/>
        <v>-3614219.77</v>
      </c>
      <c r="K91" s="278" t="str">
        <f t="shared" si="5"/>
        <v xml:space="preserve"> </v>
      </c>
      <c r="L91" s="278" t="str">
        <f t="shared" si="6"/>
        <v xml:space="preserve"> </v>
      </c>
      <c r="M91" s="843" t="str">
        <f t="shared" si="7"/>
        <v xml:space="preserve"> </v>
      </c>
      <c r="N91" s="843" t="str">
        <f t="shared" si="9"/>
        <v xml:space="preserve"> </v>
      </c>
    </row>
    <row r="92" spans="3:14">
      <c r="C92" s="844" t="s">
        <v>870</v>
      </c>
      <c r="D92" s="1377"/>
      <c r="E92" s="844" t="s">
        <v>1611</v>
      </c>
      <c r="F92" s="855"/>
      <c r="G92" s="844" t="s">
        <v>1612</v>
      </c>
      <c r="H92" s="1495">
        <v>-105599.28</v>
      </c>
      <c r="I92" s="870" t="s">
        <v>328</v>
      </c>
      <c r="J92" s="843">
        <f t="shared" si="8"/>
        <v>-105599.28</v>
      </c>
      <c r="K92" s="278" t="str">
        <f t="shared" si="5"/>
        <v xml:space="preserve"> </v>
      </c>
      <c r="L92" s="278" t="str">
        <f t="shared" si="6"/>
        <v xml:space="preserve"> </v>
      </c>
      <c r="M92" s="843" t="str">
        <f t="shared" si="7"/>
        <v xml:space="preserve"> </v>
      </c>
      <c r="N92" s="843" t="str">
        <f t="shared" si="9"/>
        <v xml:space="preserve"> </v>
      </c>
    </row>
    <row r="93" spans="3:14">
      <c r="C93" s="844" t="s">
        <v>870</v>
      </c>
      <c r="D93" s="1377"/>
      <c r="E93" s="844" t="s">
        <v>1613</v>
      </c>
      <c r="F93" s="855"/>
      <c r="G93" s="844" t="s">
        <v>1614</v>
      </c>
      <c r="H93" s="1495">
        <v>0.01</v>
      </c>
      <c r="I93" s="870" t="s">
        <v>328</v>
      </c>
      <c r="J93" s="843">
        <f t="shared" si="8"/>
        <v>0.01</v>
      </c>
      <c r="K93" s="278" t="str">
        <f t="shared" si="5"/>
        <v xml:space="preserve"> </v>
      </c>
      <c r="L93" s="278" t="str">
        <f t="shared" si="6"/>
        <v xml:space="preserve"> </v>
      </c>
      <c r="M93" s="843" t="str">
        <f t="shared" si="7"/>
        <v xml:space="preserve"> </v>
      </c>
      <c r="N93" s="843" t="str">
        <f t="shared" si="9"/>
        <v xml:space="preserve"> </v>
      </c>
    </row>
    <row r="94" spans="3:14">
      <c r="C94" s="844" t="s">
        <v>870</v>
      </c>
      <c r="D94" s="1377" t="s">
        <v>375</v>
      </c>
      <c r="E94" s="844" t="s">
        <v>1267</v>
      </c>
      <c r="F94" s="855"/>
      <c r="G94" s="844" t="s">
        <v>899</v>
      </c>
      <c r="H94" s="1495">
        <v>-892647.15</v>
      </c>
      <c r="I94" s="870" t="s">
        <v>184</v>
      </c>
      <c r="J94" s="843" t="str">
        <f t="shared" si="8"/>
        <v xml:space="preserve"> </v>
      </c>
      <c r="K94" s="278" t="str">
        <f t="shared" si="5"/>
        <v xml:space="preserve"> </v>
      </c>
      <c r="L94" s="278">
        <f t="shared" si="6"/>
        <v>-892647.15</v>
      </c>
      <c r="M94" s="843" t="str">
        <f t="shared" si="7"/>
        <v xml:space="preserve"> </v>
      </c>
      <c r="N94" s="843" t="str">
        <f t="shared" si="9"/>
        <v xml:space="preserve"> </v>
      </c>
    </row>
    <row r="95" spans="3:14">
      <c r="C95" s="844" t="s">
        <v>870</v>
      </c>
      <c r="D95" s="1377" t="s">
        <v>375</v>
      </c>
      <c r="E95" s="844" t="s">
        <v>1268</v>
      </c>
      <c r="F95" s="855"/>
      <c r="G95" s="844" t="s">
        <v>900</v>
      </c>
      <c r="H95" s="1495">
        <v>2452.73</v>
      </c>
      <c r="I95" s="870" t="s">
        <v>184</v>
      </c>
      <c r="J95" s="843" t="str">
        <f t="shared" si="8"/>
        <v xml:space="preserve"> </v>
      </c>
      <c r="K95" s="278" t="str">
        <f t="shared" si="5"/>
        <v xml:space="preserve"> </v>
      </c>
      <c r="L95" s="278">
        <f t="shared" si="6"/>
        <v>2452.73</v>
      </c>
      <c r="M95" s="843" t="str">
        <f t="shared" si="7"/>
        <v xml:space="preserve"> </v>
      </c>
      <c r="N95" s="843" t="str">
        <f t="shared" si="9"/>
        <v xml:space="preserve"> </v>
      </c>
    </row>
    <row r="96" spans="3:14">
      <c r="C96" s="844" t="s">
        <v>870</v>
      </c>
      <c r="D96" s="1377" t="s">
        <v>375</v>
      </c>
      <c r="E96" s="844" t="s">
        <v>1269</v>
      </c>
      <c r="F96" s="855"/>
      <c r="G96" s="844" t="s">
        <v>901</v>
      </c>
      <c r="H96" s="1495">
        <v>-6012154.1500000004</v>
      </c>
      <c r="I96" s="870" t="s">
        <v>328</v>
      </c>
      <c r="J96" s="843">
        <f t="shared" si="8"/>
        <v>-6012154.1500000004</v>
      </c>
      <c r="K96" s="278" t="str">
        <f t="shared" si="5"/>
        <v xml:space="preserve"> </v>
      </c>
      <c r="L96" s="278" t="str">
        <f t="shared" si="6"/>
        <v xml:space="preserve"> </v>
      </c>
      <c r="M96" s="843" t="str">
        <f t="shared" si="7"/>
        <v xml:space="preserve"> </v>
      </c>
      <c r="N96" s="843" t="str">
        <f t="shared" si="9"/>
        <v xml:space="preserve"> </v>
      </c>
    </row>
    <row r="97" spans="3:14">
      <c r="C97" s="844" t="s">
        <v>870</v>
      </c>
      <c r="D97" s="1377" t="s">
        <v>375</v>
      </c>
      <c r="E97" s="844" t="s">
        <v>1270</v>
      </c>
      <c r="F97" s="855"/>
      <c r="G97" s="844" t="s">
        <v>902</v>
      </c>
      <c r="H97" s="1495">
        <v>3441110.92</v>
      </c>
      <c r="I97" s="846" t="s">
        <v>328</v>
      </c>
      <c r="J97" s="843">
        <f t="shared" si="8"/>
        <v>3441110.92</v>
      </c>
      <c r="K97" s="278" t="str">
        <f t="shared" si="5"/>
        <v xml:space="preserve"> </v>
      </c>
      <c r="L97" s="278" t="str">
        <f t="shared" si="6"/>
        <v xml:space="preserve"> </v>
      </c>
      <c r="M97" s="843" t="str">
        <f t="shared" si="7"/>
        <v xml:space="preserve"> </v>
      </c>
      <c r="N97" s="843" t="str">
        <f t="shared" si="9"/>
        <v xml:space="preserve"> </v>
      </c>
    </row>
    <row r="98" spans="3:14">
      <c r="C98" s="844" t="s">
        <v>870</v>
      </c>
      <c r="D98" s="1377" t="s">
        <v>375</v>
      </c>
      <c r="E98" s="844" t="s">
        <v>1271</v>
      </c>
      <c r="F98" s="855"/>
      <c r="G98" s="844" t="s">
        <v>903</v>
      </c>
      <c r="H98" s="1495">
        <v>1184825.6000000001</v>
      </c>
      <c r="I98" s="870" t="s">
        <v>337</v>
      </c>
      <c r="J98" s="843" t="str">
        <f t="shared" si="8"/>
        <v xml:space="preserve"> </v>
      </c>
      <c r="K98" s="278" t="str">
        <f t="shared" si="5"/>
        <v xml:space="preserve"> </v>
      </c>
      <c r="L98" s="278" t="str">
        <f t="shared" si="6"/>
        <v xml:space="preserve"> </v>
      </c>
      <c r="M98" s="843" t="str">
        <f t="shared" si="7"/>
        <v xml:space="preserve"> </v>
      </c>
      <c r="N98" s="843">
        <f t="shared" si="9"/>
        <v>1184825.6000000001</v>
      </c>
    </row>
    <row r="99" spans="3:14">
      <c r="C99" s="844" t="s">
        <v>870</v>
      </c>
      <c r="D99" s="1377" t="s">
        <v>375</v>
      </c>
      <c r="E99" s="844" t="s">
        <v>1272</v>
      </c>
      <c r="F99" s="855"/>
      <c r="G99" s="844" t="s">
        <v>904</v>
      </c>
      <c r="H99" s="1495">
        <v>-699968.83</v>
      </c>
      <c r="I99" s="870" t="s">
        <v>328</v>
      </c>
      <c r="J99" s="843">
        <f t="shared" si="8"/>
        <v>-699968.83</v>
      </c>
      <c r="K99" s="278" t="str">
        <f t="shared" si="5"/>
        <v xml:space="preserve"> </v>
      </c>
      <c r="L99" s="278" t="str">
        <f t="shared" si="6"/>
        <v xml:space="preserve"> </v>
      </c>
      <c r="M99" s="843" t="str">
        <f t="shared" si="7"/>
        <v xml:space="preserve"> </v>
      </c>
      <c r="N99" s="843" t="str">
        <f t="shared" si="9"/>
        <v xml:space="preserve"> </v>
      </c>
    </row>
    <row r="100" spans="3:14">
      <c r="C100" s="844" t="s">
        <v>870</v>
      </c>
      <c r="D100" s="1377"/>
      <c r="E100" s="844" t="s">
        <v>1273</v>
      </c>
      <c r="F100" s="855"/>
      <c r="G100" s="844" t="s">
        <v>905</v>
      </c>
      <c r="H100" s="1495">
        <v>0.08</v>
      </c>
      <c r="I100" s="870" t="s">
        <v>328</v>
      </c>
      <c r="J100" s="843">
        <f t="shared" si="8"/>
        <v>0.08</v>
      </c>
      <c r="K100" s="278" t="str">
        <f t="shared" si="5"/>
        <v xml:space="preserve"> </v>
      </c>
      <c r="L100" s="278" t="str">
        <f t="shared" si="6"/>
        <v xml:space="preserve"> </v>
      </c>
      <c r="M100" s="843" t="str">
        <f t="shared" si="7"/>
        <v xml:space="preserve"> </v>
      </c>
      <c r="N100" s="843" t="str">
        <f t="shared" si="9"/>
        <v xml:space="preserve"> </v>
      </c>
    </row>
    <row r="101" spans="3:14">
      <c r="C101" s="844" t="s">
        <v>870</v>
      </c>
      <c r="D101" s="1377"/>
      <c r="E101" s="844" t="s">
        <v>1274</v>
      </c>
      <c r="F101" s="855"/>
      <c r="G101" s="844" t="s">
        <v>906</v>
      </c>
      <c r="H101" s="1495">
        <v>2070232.81</v>
      </c>
      <c r="I101" s="870" t="s">
        <v>328</v>
      </c>
      <c r="J101" s="843">
        <f t="shared" si="8"/>
        <v>2070232.81</v>
      </c>
      <c r="K101" s="278" t="str">
        <f t="shared" si="5"/>
        <v xml:space="preserve"> </v>
      </c>
      <c r="L101" s="278" t="str">
        <f t="shared" si="6"/>
        <v xml:space="preserve"> </v>
      </c>
      <c r="M101" s="843" t="str">
        <f t="shared" si="7"/>
        <v xml:space="preserve"> </v>
      </c>
      <c r="N101" s="843" t="str">
        <f t="shared" si="9"/>
        <v xml:space="preserve"> </v>
      </c>
    </row>
    <row r="102" spans="3:14">
      <c r="C102" s="844" t="s">
        <v>870</v>
      </c>
      <c r="D102" s="1377"/>
      <c r="E102" s="844" t="s">
        <v>1275</v>
      </c>
      <c r="F102" s="855"/>
      <c r="G102" s="844" t="s">
        <v>907</v>
      </c>
      <c r="H102" s="1495">
        <v>-2349387.1800000002</v>
      </c>
      <c r="I102" s="846" t="s">
        <v>328</v>
      </c>
      <c r="J102" s="843">
        <f t="shared" si="8"/>
        <v>-2349387.1800000002</v>
      </c>
      <c r="K102" s="278" t="str">
        <f t="shared" si="5"/>
        <v xml:space="preserve"> </v>
      </c>
      <c r="L102" s="278" t="str">
        <f t="shared" si="6"/>
        <v xml:space="preserve"> </v>
      </c>
      <c r="M102" s="843" t="str">
        <f t="shared" si="7"/>
        <v xml:space="preserve"> </v>
      </c>
      <c r="N102" s="843" t="str">
        <f t="shared" si="9"/>
        <v xml:space="preserve"> </v>
      </c>
    </row>
    <row r="103" spans="3:14">
      <c r="C103" s="844" t="s">
        <v>870</v>
      </c>
      <c r="D103" s="1377"/>
      <c r="E103" s="844" t="s">
        <v>1276</v>
      </c>
      <c r="F103" s="855"/>
      <c r="G103" s="844" t="s">
        <v>908</v>
      </c>
      <c r="H103" s="1495">
        <v>-1623</v>
      </c>
      <c r="I103" s="846" t="s">
        <v>328</v>
      </c>
      <c r="J103" s="843">
        <f t="shared" si="8"/>
        <v>-1623</v>
      </c>
      <c r="K103" s="278" t="str">
        <f t="shared" si="5"/>
        <v xml:space="preserve"> </v>
      </c>
      <c r="L103" s="278" t="str">
        <f t="shared" si="6"/>
        <v xml:space="preserve"> </v>
      </c>
      <c r="M103" s="843" t="str">
        <f t="shared" si="7"/>
        <v xml:space="preserve"> </v>
      </c>
      <c r="N103" s="843" t="str">
        <f t="shared" si="9"/>
        <v xml:space="preserve"> </v>
      </c>
    </row>
    <row r="104" spans="3:14">
      <c r="C104" s="844" t="s">
        <v>870</v>
      </c>
      <c r="D104" s="1377"/>
      <c r="E104" s="844" t="s">
        <v>1239</v>
      </c>
      <c r="F104" s="855"/>
      <c r="G104" s="844" t="s">
        <v>1615</v>
      </c>
      <c r="H104" s="1495">
        <v>1983568</v>
      </c>
      <c r="I104" s="846" t="s">
        <v>328</v>
      </c>
      <c r="J104" s="843">
        <f t="shared" si="8"/>
        <v>1983568</v>
      </c>
      <c r="K104" s="278" t="str">
        <f t="shared" si="5"/>
        <v xml:space="preserve"> </v>
      </c>
      <c r="L104" s="278" t="str">
        <f t="shared" si="6"/>
        <v xml:space="preserve"> </v>
      </c>
      <c r="M104" s="843" t="str">
        <f t="shared" si="7"/>
        <v xml:space="preserve"> </v>
      </c>
      <c r="N104" s="843" t="str">
        <f t="shared" si="9"/>
        <v xml:space="preserve"> </v>
      </c>
    </row>
    <row r="105" spans="3:14">
      <c r="C105" s="844" t="s">
        <v>870</v>
      </c>
      <c r="D105" s="1377"/>
      <c r="E105" s="844" t="s">
        <v>1239</v>
      </c>
      <c r="F105" s="855"/>
      <c r="G105" s="844" t="s">
        <v>1616</v>
      </c>
      <c r="H105" s="1495">
        <v>990855</v>
      </c>
      <c r="I105" s="846" t="s">
        <v>328</v>
      </c>
      <c r="J105" s="843">
        <f t="shared" si="8"/>
        <v>990855</v>
      </c>
      <c r="K105" s="278" t="str">
        <f t="shared" si="5"/>
        <v xml:space="preserve"> </v>
      </c>
      <c r="L105" s="278" t="str">
        <f t="shared" si="6"/>
        <v xml:space="preserve"> </v>
      </c>
      <c r="M105" s="843" t="str">
        <f t="shared" si="7"/>
        <v xml:space="preserve"> </v>
      </c>
      <c r="N105" s="843" t="str">
        <f t="shared" si="9"/>
        <v xml:space="preserve"> </v>
      </c>
    </row>
    <row r="106" spans="3:14">
      <c r="C106" s="844" t="s">
        <v>870</v>
      </c>
      <c r="D106" s="1377"/>
      <c r="E106" s="844" t="s">
        <v>1239</v>
      </c>
      <c r="F106" s="855"/>
      <c r="G106" s="844" t="s">
        <v>1617</v>
      </c>
      <c r="H106" s="1495">
        <v>3291898</v>
      </c>
      <c r="I106" s="846" t="s">
        <v>328</v>
      </c>
      <c r="J106" s="843">
        <f t="shared" si="8"/>
        <v>3291898</v>
      </c>
      <c r="K106" s="278" t="str">
        <f t="shared" si="5"/>
        <v xml:space="preserve"> </v>
      </c>
      <c r="L106" s="278" t="str">
        <f t="shared" si="6"/>
        <v xml:space="preserve"> </v>
      </c>
      <c r="M106" s="843" t="str">
        <f t="shared" si="7"/>
        <v xml:space="preserve"> </v>
      </c>
      <c r="N106" s="843" t="str">
        <f t="shared" si="9"/>
        <v xml:space="preserve"> </v>
      </c>
    </row>
    <row r="107" spans="3:14">
      <c r="C107" s="844" t="s">
        <v>870</v>
      </c>
      <c r="D107" s="1377"/>
      <c r="E107" s="844" t="s">
        <v>1239</v>
      </c>
      <c r="F107" s="855"/>
      <c r="G107" s="844" t="s">
        <v>1618</v>
      </c>
      <c r="H107" s="1495">
        <v>2251000</v>
      </c>
      <c r="I107" s="846" t="s">
        <v>328</v>
      </c>
      <c r="J107" s="843">
        <f t="shared" si="8"/>
        <v>2251000</v>
      </c>
      <c r="K107" s="278" t="str">
        <f t="shared" si="5"/>
        <v xml:space="preserve"> </v>
      </c>
      <c r="L107" s="278" t="str">
        <f t="shared" si="6"/>
        <v xml:space="preserve"> </v>
      </c>
      <c r="M107" s="843" t="str">
        <f t="shared" si="7"/>
        <v xml:space="preserve"> </v>
      </c>
      <c r="N107" s="843" t="str">
        <f t="shared" si="9"/>
        <v xml:space="preserve"> </v>
      </c>
    </row>
    <row r="108" spans="3:14">
      <c r="C108" s="844" t="s">
        <v>870</v>
      </c>
      <c r="D108" s="1377"/>
      <c r="E108" s="844"/>
      <c r="F108" s="855"/>
      <c r="G108" s="844" t="s">
        <v>1619</v>
      </c>
      <c r="H108" s="1495">
        <v>-2439851</v>
      </c>
      <c r="I108" s="846" t="s">
        <v>328</v>
      </c>
      <c r="J108" s="843">
        <f t="shared" si="8"/>
        <v>-2439851</v>
      </c>
      <c r="K108" s="278" t="str">
        <f t="shared" si="5"/>
        <v xml:space="preserve"> </v>
      </c>
      <c r="L108" s="278" t="str">
        <f t="shared" si="6"/>
        <v xml:space="preserve"> </v>
      </c>
      <c r="M108" s="843" t="str">
        <f t="shared" si="7"/>
        <v xml:space="preserve"> </v>
      </c>
      <c r="N108" s="843" t="str">
        <f t="shared" si="9"/>
        <v xml:space="preserve"> </v>
      </c>
    </row>
    <row r="109" spans="3:14">
      <c r="C109" s="844"/>
      <c r="D109" s="1377"/>
      <c r="E109" s="844"/>
      <c r="F109" s="855"/>
      <c r="G109" s="844"/>
      <c r="H109" s="869"/>
      <c r="I109" s="846"/>
      <c r="J109" s="843" t="str">
        <f t="shared" si="8"/>
        <v xml:space="preserve"> </v>
      </c>
      <c r="K109" s="278" t="str">
        <f t="shared" si="5"/>
        <v xml:space="preserve"> </v>
      </c>
      <c r="L109" s="278" t="str">
        <f t="shared" si="6"/>
        <v xml:space="preserve"> </v>
      </c>
      <c r="M109" s="843" t="str">
        <f t="shared" si="7"/>
        <v xml:space="preserve"> </v>
      </c>
      <c r="N109" s="843" t="str">
        <f t="shared" si="9"/>
        <v xml:space="preserve"> </v>
      </c>
    </row>
    <row r="110" spans="3:14">
      <c r="C110" s="866">
        <v>2831002</v>
      </c>
      <c r="D110" s="865" t="s">
        <v>375</v>
      </c>
      <c r="E110" s="844" t="s">
        <v>1277</v>
      </c>
      <c r="F110" s="844"/>
      <c r="G110" s="844" t="s">
        <v>1278</v>
      </c>
      <c r="H110" s="1495">
        <v>0</v>
      </c>
      <c r="I110" s="870" t="s">
        <v>184</v>
      </c>
      <c r="J110" s="843" t="str">
        <f t="shared" si="8"/>
        <v xml:space="preserve"> </v>
      </c>
      <c r="K110" s="278" t="str">
        <f t="shared" si="5"/>
        <v xml:space="preserve"> </v>
      </c>
      <c r="L110" s="278">
        <f t="shared" si="6"/>
        <v>0</v>
      </c>
      <c r="M110" s="843" t="str">
        <f t="shared" si="7"/>
        <v xml:space="preserve"> </v>
      </c>
      <c r="N110" s="843" t="str">
        <f t="shared" si="9"/>
        <v xml:space="preserve"> </v>
      </c>
    </row>
    <row r="111" spans="3:14">
      <c r="C111" s="840"/>
      <c r="D111" s="839"/>
      <c r="E111" s="840"/>
      <c r="G111" s="840" t="s">
        <v>1465</v>
      </c>
      <c r="H111" s="1495"/>
      <c r="I111" s="842"/>
      <c r="J111" s="1495">
        <v>0</v>
      </c>
      <c r="K111" s="1495">
        <v>0</v>
      </c>
      <c r="L111" s="1495">
        <v>0</v>
      </c>
      <c r="M111" s="1495">
        <v>0</v>
      </c>
      <c r="N111" s="1495">
        <v>0</v>
      </c>
    </row>
    <row r="112" spans="3:14">
      <c r="C112" s="840"/>
      <c r="D112" s="839"/>
      <c r="E112" s="840"/>
      <c r="G112" s="840"/>
      <c r="H112" s="1495"/>
      <c r="I112" s="842"/>
      <c r="J112" s="843" t="str">
        <f>IF(I112="e",H112," ")</f>
        <v xml:space="preserve"> </v>
      </c>
      <c r="K112" s="278"/>
      <c r="L112" s="278"/>
      <c r="M112" s="843"/>
      <c r="N112" s="843"/>
    </row>
    <row r="113" spans="3:15">
      <c r="D113" s="38"/>
      <c r="H113" s="278"/>
      <c r="I113" s="278"/>
      <c r="J113" s="278" t="str">
        <f>IF(I113="e",H113," ")</f>
        <v xml:space="preserve"> </v>
      </c>
      <c r="K113" s="278" t="str">
        <f>IF($I113="T",$H113," ")</f>
        <v xml:space="preserve"> </v>
      </c>
      <c r="L113" s="278" t="str">
        <f>IF($I113="PTD",$H113," ")</f>
        <v xml:space="preserve"> </v>
      </c>
      <c r="M113" s="278" t="str">
        <f>IF($I113="T&amp;D",$H113," ")</f>
        <v xml:space="preserve"> </v>
      </c>
      <c r="N113" s="278" t="str">
        <f>IF(I113="Labor",H113," ")</f>
        <v xml:space="preserve"> </v>
      </c>
    </row>
    <row r="114" spans="3:15">
      <c r="C114" s="706">
        <v>283.10000000000002</v>
      </c>
      <c r="D114" s="38"/>
      <c r="G114" s="194" t="s">
        <v>185</v>
      </c>
      <c r="H114" s="677">
        <f>SUM(H56:H113)</f>
        <v>-34869314.669999987</v>
      </c>
      <c r="I114" s="278"/>
      <c r="J114" s="677">
        <f>SUM(J56:J113)</f>
        <v>-18010617.550000001</v>
      </c>
      <c r="K114" s="677">
        <f>SUM(K56:K113)</f>
        <v>0</v>
      </c>
      <c r="L114" s="677">
        <f>SUM(L56:L113)</f>
        <v>-890194.42</v>
      </c>
      <c r="M114" s="677">
        <f>SUM(M56:M113)</f>
        <v>0</v>
      </c>
      <c r="N114" s="677">
        <f>SUM(N56:N113)</f>
        <v>-15968502.700000001</v>
      </c>
      <c r="O114" s="1117"/>
    </row>
    <row r="115" spans="3:15" ht="25.5">
      <c r="C115" s="672"/>
      <c r="D115" s="38"/>
      <c r="G115" s="1271" t="s">
        <v>130</v>
      </c>
      <c r="H115" s="1380"/>
      <c r="I115" s="278"/>
      <c r="J115" s="675"/>
      <c r="K115" s="678"/>
      <c r="L115" s="678"/>
      <c r="M115" s="678"/>
      <c r="N115" s="678"/>
    </row>
    <row r="116" spans="3:15">
      <c r="G116" s="268"/>
      <c r="H116" s="1122"/>
      <c r="I116" s="278"/>
      <c r="J116" s="278"/>
      <c r="K116" s="278"/>
      <c r="L116" s="278"/>
      <c r="M116" s="278"/>
      <c r="N116" s="278"/>
    </row>
    <row r="117" spans="3:15">
      <c r="H117" s="1122"/>
      <c r="I117" s="278"/>
      <c r="J117" s="278"/>
      <c r="K117" s="278"/>
      <c r="L117" s="278"/>
      <c r="M117" s="278"/>
      <c r="N117" s="278"/>
    </row>
    <row r="118" spans="3:15">
      <c r="C118" s="844" t="s">
        <v>909</v>
      </c>
      <c r="D118" s="1377" t="s">
        <v>375</v>
      </c>
      <c r="E118" s="844" t="s">
        <v>1533</v>
      </c>
      <c r="F118" s="844"/>
      <c r="G118" s="844" t="s">
        <v>911</v>
      </c>
      <c r="H118" s="1495">
        <v>-898797</v>
      </c>
      <c r="I118" s="846" t="s">
        <v>328</v>
      </c>
      <c r="J118" s="843">
        <f>IF(I118="e",H118," ")</f>
        <v>-898797</v>
      </c>
      <c r="K118" s="278" t="str">
        <f t="shared" ref="K118:K185" si="10">IF($I118="T",$H118," ")</f>
        <v xml:space="preserve"> </v>
      </c>
      <c r="L118" s="278" t="str">
        <f t="shared" ref="L118:L185" si="11">IF($I118="PTD",$H118," ")</f>
        <v xml:space="preserve"> </v>
      </c>
      <c r="M118" s="843" t="str">
        <f t="shared" ref="M118:M185" si="12">IF($I118="T&amp;D",$H118," ")</f>
        <v xml:space="preserve"> </v>
      </c>
      <c r="N118" s="843" t="str">
        <f>IF(I118="Labor",H118," ")</f>
        <v xml:space="preserve"> </v>
      </c>
    </row>
    <row r="119" spans="3:15">
      <c r="C119" s="844" t="s">
        <v>909</v>
      </c>
      <c r="D119" s="1377" t="s">
        <v>375</v>
      </c>
      <c r="E119" s="844" t="s">
        <v>1534</v>
      </c>
      <c r="F119" s="844"/>
      <c r="G119" s="844" t="s">
        <v>912</v>
      </c>
      <c r="H119" s="1495">
        <v>898797</v>
      </c>
      <c r="I119" s="846" t="s">
        <v>328</v>
      </c>
      <c r="J119" s="843">
        <f t="shared" ref="J119:J182" si="13">IF(I119="e",H119," ")</f>
        <v>898797</v>
      </c>
      <c r="K119" s="278" t="str">
        <f t="shared" si="10"/>
        <v xml:space="preserve"> </v>
      </c>
      <c r="L119" s="278" t="str">
        <f t="shared" si="11"/>
        <v xml:space="preserve"> </v>
      </c>
      <c r="M119" s="843" t="str">
        <f t="shared" si="12"/>
        <v xml:space="preserve"> </v>
      </c>
      <c r="N119" s="843" t="str">
        <f t="shared" ref="N119:N182" si="14">IF(I119="Labor",H119," ")</f>
        <v xml:space="preserve"> </v>
      </c>
    </row>
    <row r="120" spans="3:15">
      <c r="C120" s="844" t="s">
        <v>909</v>
      </c>
      <c r="D120" s="1377" t="s">
        <v>375</v>
      </c>
      <c r="E120" s="844" t="s">
        <v>913</v>
      </c>
      <c r="F120" s="844"/>
      <c r="G120" s="844" t="s">
        <v>914</v>
      </c>
      <c r="H120" s="1495">
        <v>0.03</v>
      </c>
      <c r="I120" s="846" t="s">
        <v>328</v>
      </c>
      <c r="J120" s="843">
        <f t="shared" si="13"/>
        <v>0.03</v>
      </c>
      <c r="K120" s="278" t="str">
        <f t="shared" si="10"/>
        <v xml:space="preserve"> </v>
      </c>
      <c r="L120" s="278" t="str">
        <f t="shared" si="11"/>
        <v xml:space="preserve"> </v>
      </c>
      <c r="M120" s="843" t="str">
        <f t="shared" si="12"/>
        <v xml:space="preserve"> </v>
      </c>
      <c r="N120" s="843" t="str">
        <f t="shared" si="14"/>
        <v xml:space="preserve"> </v>
      </c>
    </row>
    <row r="121" spans="3:15">
      <c r="C121" s="844" t="s">
        <v>909</v>
      </c>
      <c r="D121" s="1377" t="s">
        <v>375</v>
      </c>
      <c r="E121" s="844" t="s">
        <v>915</v>
      </c>
      <c r="F121" s="844"/>
      <c r="G121" s="844" t="s">
        <v>916</v>
      </c>
      <c r="H121" s="1495">
        <v>-0.33</v>
      </c>
      <c r="I121" s="846" t="s">
        <v>328</v>
      </c>
      <c r="J121" s="843">
        <f t="shared" si="13"/>
        <v>-0.33</v>
      </c>
      <c r="K121" s="278" t="str">
        <f t="shared" si="10"/>
        <v xml:space="preserve"> </v>
      </c>
      <c r="L121" s="278" t="str">
        <f t="shared" si="11"/>
        <v xml:space="preserve"> </v>
      </c>
      <c r="M121" s="843" t="str">
        <f t="shared" si="12"/>
        <v xml:space="preserve"> </v>
      </c>
      <c r="N121" s="843" t="str">
        <f t="shared" si="14"/>
        <v xml:space="preserve"> </v>
      </c>
    </row>
    <row r="122" spans="3:15">
      <c r="C122" s="844" t="s">
        <v>909</v>
      </c>
      <c r="D122" s="1377" t="s">
        <v>375</v>
      </c>
      <c r="E122" s="844" t="s">
        <v>917</v>
      </c>
      <c r="F122" s="844"/>
      <c r="G122" s="844" t="s">
        <v>918</v>
      </c>
      <c r="H122" s="1495">
        <v>-2852824.39</v>
      </c>
      <c r="I122" s="846" t="s">
        <v>328</v>
      </c>
      <c r="J122" s="843">
        <f t="shared" si="13"/>
        <v>-2852824.39</v>
      </c>
      <c r="K122" s="278" t="str">
        <f t="shared" si="10"/>
        <v xml:space="preserve"> </v>
      </c>
      <c r="L122" s="278" t="str">
        <f t="shared" si="11"/>
        <v xml:space="preserve"> </v>
      </c>
      <c r="M122" s="843" t="str">
        <f t="shared" si="12"/>
        <v xml:space="preserve"> </v>
      </c>
      <c r="N122" s="843" t="str">
        <f t="shared" si="14"/>
        <v xml:space="preserve"> </v>
      </c>
    </row>
    <row r="123" spans="3:15">
      <c r="C123" s="844" t="s">
        <v>909</v>
      </c>
      <c r="D123" s="1377" t="s">
        <v>375</v>
      </c>
      <c r="E123" s="844" t="s">
        <v>919</v>
      </c>
      <c r="F123" s="844"/>
      <c r="G123" s="844" t="s">
        <v>920</v>
      </c>
      <c r="H123" s="1495">
        <v>-0.01</v>
      </c>
      <c r="I123" s="846" t="s">
        <v>328</v>
      </c>
      <c r="J123" s="843">
        <f t="shared" si="13"/>
        <v>-0.01</v>
      </c>
      <c r="K123" s="278" t="str">
        <f t="shared" si="10"/>
        <v xml:space="preserve"> </v>
      </c>
      <c r="L123" s="278" t="str">
        <f t="shared" si="11"/>
        <v xml:space="preserve"> </v>
      </c>
      <c r="M123" s="843" t="str">
        <f t="shared" si="12"/>
        <v xml:space="preserve"> </v>
      </c>
      <c r="N123" s="843" t="str">
        <f t="shared" si="14"/>
        <v xml:space="preserve"> </v>
      </c>
    </row>
    <row r="124" spans="3:15">
      <c r="C124" s="844" t="s">
        <v>909</v>
      </c>
      <c r="D124" s="1377" t="s">
        <v>375</v>
      </c>
      <c r="E124" s="844" t="s">
        <v>921</v>
      </c>
      <c r="F124" s="844"/>
      <c r="G124" s="844" t="s">
        <v>922</v>
      </c>
      <c r="H124" s="1495">
        <v>4646288.74</v>
      </c>
      <c r="I124" s="846" t="s">
        <v>328</v>
      </c>
      <c r="J124" s="843">
        <f t="shared" si="13"/>
        <v>4646288.74</v>
      </c>
      <c r="K124" s="278" t="str">
        <f t="shared" si="10"/>
        <v xml:space="preserve"> </v>
      </c>
      <c r="L124" s="278" t="str">
        <f t="shared" si="11"/>
        <v xml:space="preserve"> </v>
      </c>
      <c r="M124" s="843" t="str">
        <f t="shared" si="12"/>
        <v xml:space="preserve"> </v>
      </c>
      <c r="N124" s="843" t="str">
        <f t="shared" si="14"/>
        <v xml:space="preserve"> </v>
      </c>
    </row>
    <row r="125" spans="3:15">
      <c r="C125" s="844" t="s">
        <v>909</v>
      </c>
      <c r="D125" s="1377" t="s">
        <v>375</v>
      </c>
      <c r="E125" s="844" t="s">
        <v>923</v>
      </c>
      <c r="F125" s="844"/>
      <c r="G125" s="844" t="s">
        <v>924</v>
      </c>
      <c r="H125" s="1495">
        <v>3450425.1</v>
      </c>
      <c r="I125" s="846" t="s">
        <v>184</v>
      </c>
      <c r="J125" s="843" t="str">
        <f t="shared" si="13"/>
        <v xml:space="preserve"> </v>
      </c>
      <c r="K125" s="278" t="str">
        <f t="shared" si="10"/>
        <v xml:space="preserve"> </v>
      </c>
      <c r="L125" s="278">
        <f t="shared" si="11"/>
        <v>3450425.1</v>
      </c>
      <c r="M125" s="843" t="str">
        <f t="shared" si="12"/>
        <v xml:space="preserve"> </v>
      </c>
      <c r="N125" s="843" t="str">
        <f t="shared" si="14"/>
        <v xml:space="preserve"> </v>
      </c>
    </row>
    <row r="126" spans="3:15">
      <c r="C126" s="844" t="s">
        <v>909</v>
      </c>
      <c r="D126" s="1377"/>
      <c r="E126" s="844" t="s">
        <v>1542</v>
      </c>
      <c r="F126" s="844"/>
      <c r="G126" s="844" t="s">
        <v>1581</v>
      </c>
      <c r="H126" s="1495">
        <v>6906490.3899999997</v>
      </c>
      <c r="I126" s="846" t="s">
        <v>328</v>
      </c>
      <c r="J126" s="843">
        <f t="shared" si="13"/>
        <v>6906490.3899999997</v>
      </c>
      <c r="K126" s="278" t="str">
        <f t="shared" si="10"/>
        <v xml:space="preserve"> </v>
      </c>
      <c r="L126" s="278" t="str">
        <f t="shared" si="11"/>
        <v xml:space="preserve"> </v>
      </c>
      <c r="M126" s="843" t="str">
        <f t="shared" si="12"/>
        <v xml:space="preserve"> </v>
      </c>
      <c r="N126" s="843" t="str">
        <f t="shared" si="14"/>
        <v xml:space="preserve"> </v>
      </c>
    </row>
    <row r="127" spans="3:15">
      <c r="C127" s="844" t="s">
        <v>909</v>
      </c>
      <c r="D127" s="1377"/>
      <c r="E127" s="844" t="s">
        <v>1543</v>
      </c>
      <c r="F127" s="844"/>
      <c r="G127" s="844" t="s">
        <v>1582</v>
      </c>
      <c r="H127" s="1495">
        <v>1894534.01</v>
      </c>
      <c r="I127" s="846" t="s">
        <v>328</v>
      </c>
      <c r="J127" s="843">
        <f t="shared" si="13"/>
        <v>1894534.01</v>
      </c>
      <c r="K127" s="278" t="str">
        <f t="shared" si="10"/>
        <v xml:space="preserve"> </v>
      </c>
      <c r="L127" s="278" t="str">
        <f t="shared" si="11"/>
        <v xml:space="preserve"> </v>
      </c>
      <c r="M127" s="843" t="str">
        <f t="shared" si="12"/>
        <v xml:space="preserve"> </v>
      </c>
      <c r="N127" s="843" t="str">
        <f t="shared" si="14"/>
        <v xml:space="preserve"> </v>
      </c>
    </row>
    <row r="128" spans="3:15">
      <c r="C128" s="844" t="s">
        <v>909</v>
      </c>
      <c r="D128" s="1377" t="s">
        <v>375</v>
      </c>
      <c r="E128" s="844" t="s">
        <v>925</v>
      </c>
      <c r="F128" s="844"/>
      <c r="G128" s="844" t="s">
        <v>926</v>
      </c>
      <c r="H128" s="1495">
        <v>-37375.589999999997</v>
      </c>
      <c r="I128" s="846" t="s">
        <v>328</v>
      </c>
      <c r="J128" s="843">
        <f t="shared" si="13"/>
        <v>-37375.589999999997</v>
      </c>
      <c r="K128" s="278" t="str">
        <f t="shared" si="10"/>
        <v xml:space="preserve"> </v>
      </c>
      <c r="L128" s="278" t="str">
        <f t="shared" si="11"/>
        <v xml:space="preserve"> </v>
      </c>
      <c r="M128" s="843" t="str">
        <f t="shared" si="12"/>
        <v xml:space="preserve"> </v>
      </c>
      <c r="N128" s="843" t="str">
        <f t="shared" si="14"/>
        <v xml:space="preserve"> </v>
      </c>
    </row>
    <row r="129" spans="3:14">
      <c r="C129" s="844" t="s">
        <v>909</v>
      </c>
      <c r="D129" s="1377" t="s">
        <v>375</v>
      </c>
      <c r="E129" s="844" t="s">
        <v>927</v>
      </c>
      <c r="F129" s="844"/>
      <c r="G129" s="844" t="s">
        <v>928</v>
      </c>
      <c r="H129" s="1495">
        <v>162755.03</v>
      </c>
      <c r="I129" s="846" t="s">
        <v>337</v>
      </c>
      <c r="J129" s="843" t="str">
        <f t="shared" si="13"/>
        <v xml:space="preserve"> </v>
      </c>
      <c r="K129" s="278" t="str">
        <f t="shared" si="10"/>
        <v xml:space="preserve"> </v>
      </c>
      <c r="L129" s="278" t="str">
        <f t="shared" si="11"/>
        <v xml:space="preserve"> </v>
      </c>
      <c r="M129" s="843" t="str">
        <f t="shared" si="12"/>
        <v xml:space="preserve"> </v>
      </c>
      <c r="N129" s="843">
        <f t="shared" si="14"/>
        <v>162755.03</v>
      </c>
    </row>
    <row r="130" spans="3:14">
      <c r="C130" s="844" t="s">
        <v>909</v>
      </c>
      <c r="D130" s="1377" t="s">
        <v>375</v>
      </c>
      <c r="E130" s="844" t="s">
        <v>929</v>
      </c>
      <c r="F130" s="844"/>
      <c r="G130" s="844" t="s">
        <v>930</v>
      </c>
      <c r="H130" s="1495">
        <v>238226.94</v>
      </c>
      <c r="I130" s="846" t="s">
        <v>337</v>
      </c>
      <c r="J130" s="843" t="str">
        <f t="shared" si="13"/>
        <v xml:space="preserve"> </v>
      </c>
      <c r="K130" s="278" t="str">
        <f t="shared" si="10"/>
        <v xml:space="preserve"> </v>
      </c>
      <c r="L130" s="278" t="str">
        <f t="shared" si="11"/>
        <v xml:space="preserve"> </v>
      </c>
      <c r="M130" s="843" t="str">
        <f t="shared" si="12"/>
        <v xml:space="preserve"> </v>
      </c>
      <c r="N130" s="843">
        <f t="shared" si="14"/>
        <v>238226.94</v>
      </c>
    </row>
    <row r="131" spans="3:14">
      <c r="C131" s="844" t="s">
        <v>909</v>
      </c>
      <c r="D131" s="1377" t="s">
        <v>375</v>
      </c>
      <c r="E131" s="844" t="s">
        <v>931</v>
      </c>
      <c r="F131" s="844"/>
      <c r="G131" s="844" t="s">
        <v>932</v>
      </c>
      <c r="H131" s="1495">
        <v>228228.36</v>
      </c>
      <c r="I131" s="846" t="s">
        <v>328</v>
      </c>
      <c r="J131" s="843">
        <f t="shared" si="13"/>
        <v>228228.36</v>
      </c>
      <c r="K131" s="278" t="str">
        <f t="shared" si="10"/>
        <v xml:space="preserve"> </v>
      </c>
      <c r="L131" s="278" t="str">
        <f t="shared" si="11"/>
        <v xml:space="preserve"> </v>
      </c>
      <c r="M131" s="843" t="str">
        <f t="shared" si="12"/>
        <v xml:space="preserve"> </v>
      </c>
      <c r="N131" s="843" t="str">
        <f t="shared" si="14"/>
        <v xml:space="preserve"> </v>
      </c>
    </row>
    <row r="132" spans="3:14">
      <c r="C132" s="844" t="s">
        <v>909</v>
      </c>
      <c r="D132" s="1377" t="s">
        <v>375</v>
      </c>
      <c r="E132" s="844" t="s">
        <v>933</v>
      </c>
      <c r="F132" s="844"/>
      <c r="G132" s="844" t="s">
        <v>934</v>
      </c>
      <c r="H132" s="1495">
        <v>225583.41</v>
      </c>
      <c r="I132" s="846" t="s">
        <v>337</v>
      </c>
      <c r="J132" s="843" t="str">
        <f t="shared" si="13"/>
        <v xml:space="preserve"> </v>
      </c>
      <c r="K132" s="278" t="str">
        <f t="shared" si="10"/>
        <v xml:space="preserve"> </v>
      </c>
      <c r="L132" s="278" t="str">
        <f t="shared" si="11"/>
        <v xml:space="preserve"> </v>
      </c>
      <c r="M132" s="843" t="str">
        <f t="shared" si="12"/>
        <v xml:space="preserve"> </v>
      </c>
      <c r="N132" s="843">
        <f t="shared" si="14"/>
        <v>225583.41</v>
      </c>
    </row>
    <row r="133" spans="3:14">
      <c r="C133" s="844" t="s">
        <v>909</v>
      </c>
      <c r="D133" s="1377" t="s">
        <v>375</v>
      </c>
      <c r="E133" s="844" t="s">
        <v>935</v>
      </c>
      <c r="F133" s="844"/>
      <c r="G133" s="844" t="s">
        <v>936</v>
      </c>
      <c r="H133" s="1495">
        <v>0.01</v>
      </c>
      <c r="I133" s="846" t="s">
        <v>328</v>
      </c>
      <c r="J133" s="843">
        <f t="shared" si="13"/>
        <v>0.01</v>
      </c>
      <c r="K133" s="278" t="str">
        <f t="shared" si="10"/>
        <v xml:space="preserve"> </v>
      </c>
      <c r="L133" s="278" t="str">
        <f t="shared" si="11"/>
        <v xml:space="preserve"> </v>
      </c>
      <c r="M133" s="843" t="str">
        <f t="shared" si="12"/>
        <v xml:space="preserve"> </v>
      </c>
      <c r="N133" s="843" t="str">
        <f t="shared" si="14"/>
        <v xml:space="preserve"> </v>
      </c>
    </row>
    <row r="134" spans="3:14">
      <c r="C134" s="844" t="s">
        <v>909</v>
      </c>
      <c r="D134" s="1377" t="s">
        <v>375</v>
      </c>
      <c r="E134" s="844" t="s">
        <v>937</v>
      </c>
      <c r="F134" s="844"/>
      <c r="G134" s="844" t="s">
        <v>938</v>
      </c>
      <c r="H134" s="1495">
        <v>15205</v>
      </c>
      <c r="I134" s="846" t="s">
        <v>337</v>
      </c>
      <c r="J134" s="843" t="str">
        <f t="shared" si="13"/>
        <v xml:space="preserve"> </v>
      </c>
      <c r="K134" s="278" t="str">
        <f t="shared" si="10"/>
        <v xml:space="preserve"> </v>
      </c>
      <c r="L134" s="278" t="str">
        <f t="shared" si="11"/>
        <v xml:space="preserve"> </v>
      </c>
      <c r="M134" s="843" t="str">
        <f t="shared" si="12"/>
        <v xml:space="preserve"> </v>
      </c>
      <c r="N134" s="843">
        <f t="shared" si="14"/>
        <v>15205</v>
      </c>
    </row>
    <row r="135" spans="3:14">
      <c r="C135" s="844" t="s">
        <v>909</v>
      </c>
      <c r="D135" s="1377" t="s">
        <v>375</v>
      </c>
      <c r="E135" s="844" t="s">
        <v>939</v>
      </c>
      <c r="F135" s="844"/>
      <c r="G135" s="844" t="s">
        <v>940</v>
      </c>
      <c r="H135" s="1495">
        <v>305607.03999999998</v>
      </c>
      <c r="I135" s="846" t="s">
        <v>337</v>
      </c>
      <c r="J135" s="843" t="str">
        <f t="shared" si="13"/>
        <v xml:space="preserve"> </v>
      </c>
      <c r="K135" s="278" t="str">
        <f t="shared" si="10"/>
        <v xml:space="preserve"> </v>
      </c>
      <c r="L135" s="278" t="str">
        <f t="shared" si="11"/>
        <v xml:space="preserve"> </v>
      </c>
      <c r="M135" s="843" t="str">
        <f t="shared" si="12"/>
        <v xml:space="preserve"> </v>
      </c>
      <c r="N135" s="843">
        <f t="shared" si="14"/>
        <v>305607.03999999998</v>
      </c>
    </row>
    <row r="136" spans="3:14">
      <c r="C136" s="844" t="s">
        <v>909</v>
      </c>
      <c r="D136" s="1377"/>
      <c r="E136" s="844" t="s">
        <v>1505</v>
      </c>
      <c r="F136" s="844"/>
      <c r="G136" s="844" t="s">
        <v>1506</v>
      </c>
      <c r="H136" s="1495">
        <v>673766.59</v>
      </c>
      <c r="I136" s="846" t="s">
        <v>337</v>
      </c>
      <c r="J136" s="843" t="str">
        <f t="shared" si="13"/>
        <v xml:space="preserve"> </v>
      </c>
      <c r="K136" s="278" t="str">
        <f t="shared" si="10"/>
        <v xml:space="preserve"> </v>
      </c>
      <c r="L136" s="278" t="str">
        <f t="shared" si="11"/>
        <v xml:space="preserve"> </v>
      </c>
      <c r="M136" s="843" t="str">
        <f t="shared" si="12"/>
        <v xml:space="preserve"> </v>
      </c>
      <c r="N136" s="843">
        <f t="shared" si="14"/>
        <v>673766.59</v>
      </c>
    </row>
    <row r="137" spans="3:14">
      <c r="C137" s="844" t="s">
        <v>909</v>
      </c>
      <c r="D137" s="1377" t="s">
        <v>375</v>
      </c>
      <c r="E137" s="844" t="s">
        <v>941</v>
      </c>
      <c r="F137" s="844"/>
      <c r="G137" s="844" t="s">
        <v>942</v>
      </c>
      <c r="H137" s="1495">
        <v>181254.63</v>
      </c>
      <c r="I137" s="846" t="s">
        <v>328</v>
      </c>
      <c r="J137" s="843">
        <f t="shared" si="13"/>
        <v>181254.63</v>
      </c>
      <c r="K137" s="278" t="str">
        <f t="shared" si="10"/>
        <v xml:space="preserve"> </v>
      </c>
      <c r="L137" s="278" t="str">
        <f t="shared" si="11"/>
        <v xml:space="preserve"> </v>
      </c>
      <c r="M137" s="843" t="str">
        <f t="shared" si="12"/>
        <v xml:space="preserve"> </v>
      </c>
      <c r="N137" s="843" t="str">
        <f t="shared" si="14"/>
        <v xml:space="preserve"> </v>
      </c>
    </row>
    <row r="138" spans="3:14">
      <c r="C138" s="844" t="s">
        <v>909</v>
      </c>
      <c r="D138" s="1377" t="s">
        <v>375</v>
      </c>
      <c r="E138" s="844" t="s">
        <v>943</v>
      </c>
      <c r="F138" s="844"/>
      <c r="G138" s="844" t="s">
        <v>944</v>
      </c>
      <c r="H138" s="1495">
        <v>35.28</v>
      </c>
      <c r="I138" s="846" t="s">
        <v>328</v>
      </c>
      <c r="J138" s="843">
        <f t="shared" si="13"/>
        <v>35.28</v>
      </c>
      <c r="K138" s="278" t="str">
        <f t="shared" si="10"/>
        <v xml:space="preserve"> </v>
      </c>
      <c r="L138" s="278" t="str">
        <f t="shared" si="11"/>
        <v xml:space="preserve"> </v>
      </c>
      <c r="M138" s="843" t="str">
        <f t="shared" si="12"/>
        <v xml:space="preserve"> </v>
      </c>
      <c r="N138" s="843" t="str">
        <f t="shared" si="14"/>
        <v xml:space="preserve"> </v>
      </c>
    </row>
    <row r="139" spans="3:14">
      <c r="C139" s="844" t="s">
        <v>909</v>
      </c>
      <c r="D139" s="1377" t="s">
        <v>375</v>
      </c>
      <c r="E139" s="844" t="s">
        <v>945</v>
      </c>
      <c r="F139" s="844"/>
      <c r="G139" s="844" t="s">
        <v>946</v>
      </c>
      <c r="H139" s="1495">
        <v>-3179.19</v>
      </c>
      <c r="I139" s="846" t="s">
        <v>328</v>
      </c>
      <c r="J139" s="843">
        <f t="shared" si="13"/>
        <v>-3179.19</v>
      </c>
      <c r="K139" s="278" t="str">
        <f t="shared" si="10"/>
        <v xml:space="preserve"> </v>
      </c>
      <c r="L139" s="278" t="str">
        <f t="shared" si="11"/>
        <v xml:space="preserve"> </v>
      </c>
      <c r="M139" s="843" t="str">
        <f t="shared" si="12"/>
        <v xml:space="preserve"> </v>
      </c>
      <c r="N139" s="843" t="str">
        <f t="shared" si="14"/>
        <v xml:space="preserve"> </v>
      </c>
    </row>
    <row r="140" spans="3:14">
      <c r="C140" s="844" t="s">
        <v>909</v>
      </c>
      <c r="D140" s="1377" t="s">
        <v>375</v>
      </c>
      <c r="E140" s="844" t="s">
        <v>947</v>
      </c>
      <c r="F140" s="844"/>
      <c r="G140" s="844" t="s">
        <v>948</v>
      </c>
      <c r="H140" s="1495">
        <v>7343972.5499999998</v>
      </c>
      <c r="I140" s="846" t="s">
        <v>328</v>
      </c>
      <c r="J140" s="843">
        <f t="shared" si="13"/>
        <v>7343972.5499999998</v>
      </c>
      <c r="K140" s="278" t="str">
        <f t="shared" si="10"/>
        <v xml:space="preserve"> </v>
      </c>
      <c r="L140" s="278" t="str">
        <f t="shared" si="11"/>
        <v xml:space="preserve"> </v>
      </c>
      <c r="M140" s="843" t="str">
        <f t="shared" si="12"/>
        <v xml:space="preserve"> </v>
      </c>
      <c r="N140" s="843" t="str">
        <f t="shared" si="14"/>
        <v xml:space="preserve"> </v>
      </c>
    </row>
    <row r="141" spans="3:14">
      <c r="C141" s="844" t="s">
        <v>909</v>
      </c>
      <c r="D141" s="1377" t="s">
        <v>375</v>
      </c>
      <c r="E141" s="844" t="s">
        <v>949</v>
      </c>
      <c r="F141" s="844"/>
      <c r="G141" s="844" t="s">
        <v>950</v>
      </c>
      <c r="H141" s="1495">
        <v>355964.91</v>
      </c>
      <c r="I141" s="846" t="s">
        <v>337</v>
      </c>
      <c r="J141" s="843" t="str">
        <f t="shared" si="13"/>
        <v xml:space="preserve"> </v>
      </c>
      <c r="K141" s="278" t="str">
        <f t="shared" si="10"/>
        <v xml:space="preserve"> </v>
      </c>
      <c r="L141" s="278" t="str">
        <f t="shared" si="11"/>
        <v xml:space="preserve"> </v>
      </c>
      <c r="M141" s="843" t="str">
        <f t="shared" si="12"/>
        <v xml:space="preserve"> </v>
      </c>
      <c r="N141" s="843">
        <f t="shared" si="14"/>
        <v>355964.91</v>
      </c>
    </row>
    <row r="142" spans="3:14">
      <c r="C142" s="844" t="s">
        <v>909</v>
      </c>
      <c r="D142" s="1377" t="s">
        <v>375</v>
      </c>
      <c r="E142" s="844" t="s">
        <v>951</v>
      </c>
      <c r="F142" s="844"/>
      <c r="G142" s="844" t="s">
        <v>952</v>
      </c>
      <c r="H142" s="1495">
        <v>2163953.71</v>
      </c>
      <c r="I142" s="846" t="s">
        <v>337</v>
      </c>
      <c r="J142" s="843" t="str">
        <f t="shared" si="13"/>
        <v xml:space="preserve"> </v>
      </c>
      <c r="K142" s="278" t="str">
        <f t="shared" si="10"/>
        <v xml:space="preserve"> </v>
      </c>
      <c r="L142" s="278" t="str">
        <f t="shared" si="11"/>
        <v xml:space="preserve"> </v>
      </c>
      <c r="M142" s="843" t="str">
        <f t="shared" si="12"/>
        <v xml:space="preserve"> </v>
      </c>
      <c r="N142" s="843">
        <f t="shared" si="14"/>
        <v>2163953.71</v>
      </c>
    </row>
    <row r="143" spans="3:14">
      <c r="C143" s="844" t="s">
        <v>909</v>
      </c>
      <c r="D143" s="1377" t="s">
        <v>375</v>
      </c>
      <c r="E143" s="844" t="s">
        <v>953</v>
      </c>
      <c r="F143" s="844"/>
      <c r="G143" s="844" t="s">
        <v>954</v>
      </c>
      <c r="H143" s="1495">
        <v>5336.12</v>
      </c>
      <c r="I143" s="846" t="s">
        <v>184</v>
      </c>
      <c r="J143" s="843" t="str">
        <f t="shared" si="13"/>
        <v xml:space="preserve"> </v>
      </c>
      <c r="K143" s="278" t="str">
        <f t="shared" si="10"/>
        <v xml:space="preserve"> </v>
      </c>
      <c r="L143" s="278">
        <f t="shared" si="11"/>
        <v>5336.12</v>
      </c>
      <c r="M143" s="843" t="str">
        <f t="shared" si="12"/>
        <v xml:space="preserve"> </v>
      </c>
      <c r="N143" s="843" t="str">
        <f t="shared" si="14"/>
        <v xml:space="preserve"> </v>
      </c>
    </row>
    <row r="144" spans="3:14">
      <c r="C144" s="844" t="s">
        <v>909</v>
      </c>
      <c r="D144" s="1377" t="s">
        <v>375</v>
      </c>
      <c r="E144" s="844" t="s">
        <v>955</v>
      </c>
      <c r="F144" s="844"/>
      <c r="G144" s="844" t="s">
        <v>956</v>
      </c>
      <c r="H144" s="1495">
        <v>2443827.67</v>
      </c>
      <c r="I144" s="846" t="s">
        <v>337</v>
      </c>
      <c r="J144" s="843" t="str">
        <f t="shared" si="13"/>
        <v xml:space="preserve"> </v>
      </c>
      <c r="K144" s="278" t="str">
        <f t="shared" si="10"/>
        <v xml:space="preserve"> </v>
      </c>
      <c r="L144" s="278" t="str">
        <f t="shared" si="11"/>
        <v xml:space="preserve"> </v>
      </c>
      <c r="M144" s="843" t="str">
        <f t="shared" si="12"/>
        <v xml:space="preserve"> </v>
      </c>
      <c r="N144" s="843">
        <f t="shared" si="14"/>
        <v>2443827.67</v>
      </c>
    </row>
    <row r="145" spans="3:14">
      <c r="C145" s="844" t="s">
        <v>909</v>
      </c>
      <c r="D145" s="1377" t="s">
        <v>375</v>
      </c>
      <c r="E145" s="844" t="s">
        <v>957</v>
      </c>
      <c r="F145" s="844"/>
      <c r="G145" s="844" t="s">
        <v>958</v>
      </c>
      <c r="H145" s="1495">
        <v>716.06</v>
      </c>
      <c r="I145" s="846" t="s">
        <v>328</v>
      </c>
      <c r="J145" s="843">
        <f t="shared" si="13"/>
        <v>716.06</v>
      </c>
      <c r="K145" s="278" t="str">
        <f t="shared" si="10"/>
        <v xml:space="preserve"> </v>
      </c>
      <c r="L145" s="278" t="str">
        <f t="shared" si="11"/>
        <v xml:space="preserve"> </v>
      </c>
      <c r="M145" s="843" t="str">
        <f t="shared" si="12"/>
        <v xml:space="preserve"> </v>
      </c>
      <c r="N145" s="843" t="str">
        <f t="shared" si="14"/>
        <v xml:space="preserve"> </v>
      </c>
    </row>
    <row r="146" spans="3:14">
      <c r="C146" s="844" t="s">
        <v>909</v>
      </c>
      <c r="D146" s="1377" t="s">
        <v>375</v>
      </c>
      <c r="E146" s="844" t="s">
        <v>959</v>
      </c>
      <c r="F146" s="844"/>
      <c r="G146" s="844" t="s">
        <v>960</v>
      </c>
      <c r="H146" s="1495">
        <v>27737.53</v>
      </c>
      <c r="I146" s="846" t="s">
        <v>337</v>
      </c>
      <c r="J146" s="843" t="str">
        <f t="shared" si="13"/>
        <v xml:space="preserve"> </v>
      </c>
      <c r="K146" s="278" t="str">
        <f t="shared" si="10"/>
        <v xml:space="preserve"> </v>
      </c>
      <c r="L146" s="278" t="str">
        <f t="shared" si="11"/>
        <v xml:space="preserve"> </v>
      </c>
      <c r="M146" s="843" t="str">
        <f t="shared" si="12"/>
        <v xml:space="preserve"> </v>
      </c>
      <c r="N146" s="843">
        <f t="shared" si="14"/>
        <v>27737.53</v>
      </c>
    </row>
    <row r="147" spans="3:14">
      <c r="C147" s="844" t="s">
        <v>909</v>
      </c>
      <c r="D147" s="1377"/>
      <c r="E147" s="844" t="s">
        <v>961</v>
      </c>
      <c r="F147" s="844"/>
      <c r="G147" s="844" t="s">
        <v>962</v>
      </c>
      <c r="H147" s="1495">
        <v>0.12</v>
      </c>
      <c r="I147" s="846" t="s">
        <v>184</v>
      </c>
      <c r="J147" s="843" t="str">
        <f t="shared" si="13"/>
        <v xml:space="preserve"> </v>
      </c>
      <c r="K147" s="278" t="str">
        <f t="shared" si="10"/>
        <v xml:space="preserve"> </v>
      </c>
      <c r="L147" s="278">
        <f t="shared" si="11"/>
        <v>0.12</v>
      </c>
      <c r="M147" s="843" t="str">
        <f t="shared" si="12"/>
        <v xml:space="preserve"> </v>
      </c>
      <c r="N147" s="843" t="str">
        <f t="shared" si="14"/>
        <v xml:space="preserve"> </v>
      </c>
    </row>
    <row r="148" spans="3:14">
      <c r="C148" s="844" t="s">
        <v>909</v>
      </c>
      <c r="D148" s="1377"/>
      <c r="E148" s="844" t="s">
        <v>963</v>
      </c>
      <c r="F148" s="844"/>
      <c r="G148" s="844" t="s">
        <v>964</v>
      </c>
      <c r="H148" s="1495">
        <v>-407180.34</v>
      </c>
      <c r="I148" s="846" t="s">
        <v>328</v>
      </c>
      <c r="J148" s="843">
        <f t="shared" si="13"/>
        <v>-407180.34</v>
      </c>
      <c r="K148" s="278" t="str">
        <f t="shared" si="10"/>
        <v xml:space="preserve"> </v>
      </c>
      <c r="L148" s="278" t="str">
        <f t="shared" si="11"/>
        <v xml:space="preserve"> </v>
      </c>
      <c r="M148" s="843" t="str">
        <f t="shared" si="12"/>
        <v xml:space="preserve"> </v>
      </c>
      <c r="N148" s="843" t="str">
        <f t="shared" si="14"/>
        <v xml:space="preserve"> </v>
      </c>
    </row>
    <row r="149" spans="3:14">
      <c r="C149" s="844" t="s">
        <v>909</v>
      </c>
      <c r="D149" s="1377"/>
      <c r="E149" s="844" t="s">
        <v>1535</v>
      </c>
      <c r="F149" s="844"/>
      <c r="G149" s="844" t="s">
        <v>965</v>
      </c>
      <c r="H149" s="1495">
        <v>432254.4</v>
      </c>
      <c r="I149" s="846" t="s">
        <v>328</v>
      </c>
      <c r="J149" s="843">
        <f t="shared" si="13"/>
        <v>432254.4</v>
      </c>
      <c r="K149" s="278" t="str">
        <f t="shared" si="10"/>
        <v xml:space="preserve"> </v>
      </c>
      <c r="L149" s="278" t="str">
        <f t="shared" si="11"/>
        <v xml:space="preserve"> </v>
      </c>
      <c r="M149" s="843" t="str">
        <f t="shared" si="12"/>
        <v xml:space="preserve"> </v>
      </c>
      <c r="N149" s="843" t="str">
        <f t="shared" si="14"/>
        <v xml:space="preserve"> </v>
      </c>
    </row>
    <row r="150" spans="3:14">
      <c r="C150" s="844" t="s">
        <v>909</v>
      </c>
      <c r="D150" s="1377"/>
      <c r="E150" s="844" t="s">
        <v>966</v>
      </c>
      <c r="F150" s="844"/>
      <c r="G150" s="844" t="s">
        <v>967</v>
      </c>
      <c r="H150" s="1495">
        <v>4633.8599999999997</v>
      </c>
      <c r="I150" s="846" t="s">
        <v>328</v>
      </c>
      <c r="J150" s="843">
        <f t="shared" si="13"/>
        <v>4633.8599999999997</v>
      </c>
      <c r="K150" s="278" t="str">
        <f t="shared" si="10"/>
        <v xml:space="preserve"> </v>
      </c>
      <c r="L150" s="278" t="str">
        <f t="shared" si="11"/>
        <v xml:space="preserve"> </v>
      </c>
      <c r="M150" s="843" t="str">
        <f t="shared" si="12"/>
        <v xml:space="preserve"> </v>
      </c>
      <c r="N150" s="843" t="str">
        <f t="shared" si="14"/>
        <v xml:space="preserve"> </v>
      </c>
    </row>
    <row r="151" spans="3:14">
      <c r="C151" s="844" t="s">
        <v>909</v>
      </c>
      <c r="D151" s="1377"/>
      <c r="E151" s="844" t="s">
        <v>1279</v>
      </c>
      <c r="F151" s="844"/>
      <c r="G151" s="844" t="s">
        <v>968</v>
      </c>
      <c r="H151" s="1495">
        <v>-372842.4</v>
      </c>
      <c r="I151" s="846" t="s">
        <v>328</v>
      </c>
      <c r="J151" s="843">
        <f t="shared" si="13"/>
        <v>-372842.4</v>
      </c>
      <c r="K151" s="278" t="str">
        <f t="shared" si="10"/>
        <v xml:space="preserve"> </v>
      </c>
      <c r="L151" s="278" t="str">
        <f t="shared" si="11"/>
        <v xml:space="preserve"> </v>
      </c>
      <c r="M151" s="843" t="str">
        <f t="shared" si="12"/>
        <v xml:space="preserve"> </v>
      </c>
      <c r="N151" s="843" t="str">
        <f t="shared" si="14"/>
        <v xml:space="preserve"> </v>
      </c>
    </row>
    <row r="152" spans="3:14">
      <c r="C152" s="844" t="s">
        <v>909</v>
      </c>
      <c r="D152" s="1377"/>
      <c r="E152" s="844" t="s">
        <v>969</v>
      </c>
      <c r="F152" s="844"/>
      <c r="G152" s="844" t="s">
        <v>970</v>
      </c>
      <c r="H152" s="1495">
        <v>-0.1</v>
      </c>
      <c r="I152" s="846" t="s">
        <v>328</v>
      </c>
      <c r="J152" s="843">
        <f t="shared" si="13"/>
        <v>-0.1</v>
      </c>
      <c r="K152" s="278" t="str">
        <f t="shared" si="10"/>
        <v xml:space="preserve"> </v>
      </c>
      <c r="L152" s="278" t="str">
        <f t="shared" si="11"/>
        <v xml:space="preserve"> </v>
      </c>
      <c r="M152" s="843" t="str">
        <f t="shared" si="12"/>
        <v xml:space="preserve"> </v>
      </c>
      <c r="N152" s="843" t="str">
        <f t="shared" si="14"/>
        <v xml:space="preserve"> </v>
      </c>
    </row>
    <row r="153" spans="3:14">
      <c r="C153" s="844" t="s">
        <v>909</v>
      </c>
      <c r="D153" s="1377"/>
      <c r="E153" s="844" t="s">
        <v>973</v>
      </c>
      <c r="F153" s="844"/>
      <c r="G153" s="844" t="s">
        <v>974</v>
      </c>
      <c r="H153" s="1495">
        <v>370557.93</v>
      </c>
      <c r="I153" s="846" t="s">
        <v>184</v>
      </c>
      <c r="J153" s="843" t="str">
        <f t="shared" si="13"/>
        <v xml:space="preserve"> </v>
      </c>
      <c r="K153" s="278" t="str">
        <f t="shared" si="10"/>
        <v xml:space="preserve"> </v>
      </c>
      <c r="L153" s="278">
        <f t="shared" si="11"/>
        <v>370557.93</v>
      </c>
      <c r="M153" s="843" t="str">
        <f t="shared" si="12"/>
        <v xml:space="preserve"> </v>
      </c>
      <c r="N153" s="843" t="str">
        <f t="shared" si="14"/>
        <v xml:space="preserve"> </v>
      </c>
    </row>
    <row r="154" spans="3:14">
      <c r="C154" s="844" t="s">
        <v>909</v>
      </c>
      <c r="D154" s="1377"/>
      <c r="E154" s="844" t="s">
        <v>975</v>
      </c>
      <c r="F154" s="844"/>
      <c r="G154" s="844" t="s">
        <v>976</v>
      </c>
      <c r="H154" s="1495">
        <v>57310.17</v>
      </c>
      <c r="I154" s="846" t="s">
        <v>328</v>
      </c>
      <c r="J154" s="843">
        <f t="shared" si="13"/>
        <v>57310.17</v>
      </c>
      <c r="K154" s="278" t="str">
        <f t="shared" si="10"/>
        <v xml:space="preserve"> </v>
      </c>
      <c r="L154" s="278" t="str">
        <f t="shared" si="11"/>
        <v xml:space="preserve"> </v>
      </c>
      <c r="M154" s="843" t="str">
        <f t="shared" si="12"/>
        <v xml:space="preserve"> </v>
      </c>
      <c r="N154" s="843" t="str">
        <f t="shared" si="14"/>
        <v xml:space="preserve"> </v>
      </c>
    </row>
    <row r="155" spans="3:14">
      <c r="C155" s="844" t="s">
        <v>909</v>
      </c>
      <c r="D155" s="1377"/>
      <c r="E155" s="844" t="s">
        <v>977</v>
      </c>
      <c r="F155" s="844"/>
      <c r="G155" s="844" t="s">
        <v>978</v>
      </c>
      <c r="H155" s="1495">
        <v>11066115.949999999</v>
      </c>
      <c r="I155" s="846" t="s">
        <v>328</v>
      </c>
      <c r="J155" s="843">
        <f t="shared" si="13"/>
        <v>11066115.949999999</v>
      </c>
      <c r="K155" s="278" t="str">
        <f t="shared" si="10"/>
        <v xml:space="preserve"> </v>
      </c>
      <c r="L155" s="278" t="str">
        <f t="shared" si="11"/>
        <v xml:space="preserve"> </v>
      </c>
      <c r="M155" s="843" t="str">
        <f t="shared" si="12"/>
        <v xml:space="preserve"> </v>
      </c>
      <c r="N155" s="843" t="str">
        <f t="shared" si="14"/>
        <v xml:space="preserve"> </v>
      </c>
    </row>
    <row r="156" spans="3:14">
      <c r="C156" s="844" t="s">
        <v>909</v>
      </c>
      <c r="D156" s="1377"/>
      <c r="E156" s="844" t="s">
        <v>979</v>
      </c>
      <c r="F156" s="844"/>
      <c r="G156" s="844" t="s">
        <v>980</v>
      </c>
      <c r="H156" s="1495">
        <v>3455813.35</v>
      </c>
      <c r="I156" s="846" t="s">
        <v>328</v>
      </c>
      <c r="J156" s="843">
        <f t="shared" si="13"/>
        <v>3455813.35</v>
      </c>
      <c r="K156" s="278" t="str">
        <f t="shared" si="10"/>
        <v xml:space="preserve"> </v>
      </c>
      <c r="L156" s="278" t="str">
        <f t="shared" si="11"/>
        <v xml:space="preserve"> </v>
      </c>
      <c r="M156" s="843" t="str">
        <f t="shared" si="12"/>
        <v xml:space="preserve"> </v>
      </c>
      <c r="N156" s="843" t="str">
        <f t="shared" si="14"/>
        <v xml:space="preserve"> </v>
      </c>
    </row>
    <row r="157" spans="3:14">
      <c r="C157" s="844" t="s">
        <v>909</v>
      </c>
      <c r="D157" s="1377"/>
      <c r="E157" s="844" t="s">
        <v>1552</v>
      </c>
      <c r="F157" s="844"/>
      <c r="G157" s="844" t="s">
        <v>1553</v>
      </c>
      <c r="H157" s="1495">
        <v>312745.87</v>
      </c>
      <c r="I157" s="846" t="s">
        <v>328</v>
      </c>
      <c r="J157" s="843">
        <f t="shared" si="13"/>
        <v>312745.87</v>
      </c>
      <c r="K157" s="278" t="str">
        <f t="shared" si="10"/>
        <v xml:space="preserve"> </v>
      </c>
      <c r="L157" s="278" t="str">
        <f t="shared" si="11"/>
        <v xml:space="preserve"> </v>
      </c>
      <c r="M157" s="843" t="str">
        <f t="shared" si="12"/>
        <v xml:space="preserve"> </v>
      </c>
      <c r="N157" s="843" t="str">
        <f t="shared" si="14"/>
        <v xml:space="preserve"> </v>
      </c>
    </row>
    <row r="158" spans="3:14">
      <c r="C158" s="844" t="s">
        <v>909</v>
      </c>
      <c r="D158" s="1377"/>
      <c r="E158" s="844" t="s">
        <v>1554</v>
      </c>
      <c r="F158" s="844"/>
      <c r="G158" s="844" t="s">
        <v>1555</v>
      </c>
      <c r="H158" s="1495">
        <v>861751.19</v>
      </c>
      <c r="I158" s="846" t="s">
        <v>328</v>
      </c>
      <c r="J158" s="843">
        <f t="shared" si="13"/>
        <v>861751.19</v>
      </c>
      <c r="K158" s="278" t="str">
        <f t="shared" si="10"/>
        <v xml:space="preserve"> </v>
      </c>
      <c r="L158" s="278" t="str">
        <f t="shared" si="11"/>
        <v xml:space="preserve"> </v>
      </c>
      <c r="M158" s="843" t="str">
        <f t="shared" si="12"/>
        <v xml:space="preserve"> </v>
      </c>
      <c r="N158" s="843" t="str">
        <f t="shared" si="14"/>
        <v xml:space="preserve"> </v>
      </c>
    </row>
    <row r="159" spans="3:14">
      <c r="C159" s="844" t="s">
        <v>909</v>
      </c>
      <c r="D159" s="1377"/>
      <c r="E159" s="844" t="s">
        <v>1556</v>
      </c>
      <c r="F159" s="844"/>
      <c r="G159" s="844" t="s">
        <v>1557</v>
      </c>
      <c r="H159" s="1495">
        <v>-13654.38</v>
      </c>
      <c r="I159" s="846" t="s">
        <v>328</v>
      </c>
      <c r="J159" s="843">
        <f t="shared" si="13"/>
        <v>-13654.38</v>
      </c>
      <c r="K159" s="278" t="str">
        <f t="shared" si="10"/>
        <v xml:space="preserve"> </v>
      </c>
      <c r="L159" s="278" t="str">
        <f t="shared" si="11"/>
        <v xml:space="preserve"> </v>
      </c>
      <c r="M159" s="843" t="str">
        <f t="shared" si="12"/>
        <v xml:space="preserve"> </v>
      </c>
      <c r="N159" s="843" t="str">
        <f t="shared" si="14"/>
        <v xml:space="preserve"> </v>
      </c>
    </row>
    <row r="160" spans="3:14">
      <c r="C160" s="844" t="s">
        <v>909</v>
      </c>
      <c r="D160" s="1377"/>
      <c r="E160" s="844" t="s">
        <v>1558</v>
      </c>
      <c r="F160" s="844"/>
      <c r="G160" s="844" t="s">
        <v>1559</v>
      </c>
      <c r="H160" s="1495">
        <v>-69042.33</v>
      </c>
      <c r="I160" s="846" t="s">
        <v>328</v>
      </c>
      <c r="J160" s="843">
        <f t="shared" si="13"/>
        <v>-69042.33</v>
      </c>
      <c r="K160" s="278" t="str">
        <f t="shared" si="10"/>
        <v xml:space="preserve"> </v>
      </c>
      <c r="L160" s="278" t="str">
        <f t="shared" si="11"/>
        <v xml:space="preserve"> </v>
      </c>
      <c r="M160" s="843" t="str">
        <f t="shared" si="12"/>
        <v xml:space="preserve"> </v>
      </c>
      <c r="N160" s="843" t="str">
        <f t="shared" si="14"/>
        <v xml:space="preserve"> </v>
      </c>
    </row>
    <row r="161" spans="3:14">
      <c r="C161" s="844" t="s">
        <v>909</v>
      </c>
      <c r="D161" s="1377"/>
      <c r="E161" s="844" t="s">
        <v>1560</v>
      </c>
      <c r="F161" s="844"/>
      <c r="G161" s="844" t="s">
        <v>1561</v>
      </c>
      <c r="H161" s="1495">
        <v>33536.080000000002</v>
      </c>
      <c r="I161" s="846" t="s">
        <v>328</v>
      </c>
      <c r="J161" s="843">
        <f t="shared" si="13"/>
        <v>33536.080000000002</v>
      </c>
      <c r="K161" s="278" t="str">
        <f t="shared" si="10"/>
        <v xml:space="preserve"> </v>
      </c>
      <c r="L161" s="278" t="str">
        <f t="shared" si="11"/>
        <v xml:space="preserve"> </v>
      </c>
      <c r="M161" s="843" t="str">
        <f t="shared" si="12"/>
        <v xml:space="preserve"> </v>
      </c>
      <c r="N161" s="843" t="str">
        <f t="shared" si="14"/>
        <v xml:space="preserve"> </v>
      </c>
    </row>
    <row r="162" spans="3:14">
      <c r="C162" s="844" t="s">
        <v>909</v>
      </c>
      <c r="D162" s="1377"/>
      <c r="E162" s="844" t="s">
        <v>1562</v>
      </c>
      <c r="F162" s="844"/>
      <c r="G162" s="844" t="s">
        <v>1563</v>
      </c>
      <c r="H162" s="1495">
        <v>10079.76</v>
      </c>
      <c r="I162" s="846" t="s">
        <v>328</v>
      </c>
      <c r="J162" s="843">
        <f t="shared" si="13"/>
        <v>10079.76</v>
      </c>
      <c r="K162" s="278" t="str">
        <f t="shared" si="10"/>
        <v xml:space="preserve"> </v>
      </c>
      <c r="L162" s="278" t="str">
        <f t="shared" si="11"/>
        <v xml:space="preserve"> </v>
      </c>
      <c r="M162" s="843" t="str">
        <f t="shared" si="12"/>
        <v xml:space="preserve"> </v>
      </c>
      <c r="N162" s="843" t="str">
        <f t="shared" si="14"/>
        <v xml:space="preserve"> </v>
      </c>
    </row>
    <row r="163" spans="3:14">
      <c r="C163" s="844" t="s">
        <v>909</v>
      </c>
      <c r="D163" s="1377"/>
      <c r="E163" s="844" t="s">
        <v>1564</v>
      </c>
      <c r="F163" s="844"/>
      <c r="G163" s="844" t="s">
        <v>1565</v>
      </c>
      <c r="H163" s="1495">
        <v>0</v>
      </c>
      <c r="I163" s="846" t="s">
        <v>328</v>
      </c>
      <c r="J163" s="843">
        <f t="shared" si="13"/>
        <v>0</v>
      </c>
      <c r="K163" s="278" t="str">
        <f t="shared" si="10"/>
        <v xml:space="preserve"> </v>
      </c>
      <c r="L163" s="278" t="str">
        <f t="shared" si="11"/>
        <v xml:space="preserve"> </v>
      </c>
      <c r="M163" s="843" t="str">
        <f t="shared" si="12"/>
        <v xml:space="preserve"> </v>
      </c>
      <c r="N163" s="843" t="str">
        <f t="shared" si="14"/>
        <v xml:space="preserve"> </v>
      </c>
    </row>
    <row r="164" spans="3:14">
      <c r="C164" s="844" t="s">
        <v>909</v>
      </c>
      <c r="D164" s="1377"/>
      <c r="E164" s="844" t="s">
        <v>1566</v>
      </c>
      <c r="F164" s="844"/>
      <c r="G164" s="844" t="s">
        <v>1567</v>
      </c>
      <c r="H164" s="1495">
        <v>384494.35</v>
      </c>
      <c r="I164" s="846" t="s">
        <v>328</v>
      </c>
      <c r="J164" s="843">
        <f t="shared" si="13"/>
        <v>384494.35</v>
      </c>
      <c r="K164" s="278" t="str">
        <f t="shared" si="10"/>
        <v xml:space="preserve"> </v>
      </c>
      <c r="L164" s="278" t="str">
        <f t="shared" si="11"/>
        <v xml:space="preserve"> </v>
      </c>
      <c r="M164" s="843" t="str">
        <f t="shared" si="12"/>
        <v xml:space="preserve"> </v>
      </c>
      <c r="N164" s="843" t="str">
        <f t="shared" si="14"/>
        <v xml:space="preserve"> </v>
      </c>
    </row>
    <row r="165" spans="3:14">
      <c r="C165" s="844" t="s">
        <v>909</v>
      </c>
      <c r="D165" s="1377"/>
      <c r="E165" s="844" t="s">
        <v>1568</v>
      </c>
      <c r="F165" s="844"/>
      <c r="G165" s="844" t="s">
        <v>1569</v>
      </c>
      <c r="H165" s="1495">
        <v>462497.44</v>
      </c>
      <c r="I165" s="846" t="s">
        <v>328</v>
      </c>
      <c r="J165" s="843">
        <f t="shared" si="13"/>
        <v>462497.44</v>
      </c>
      <c r="K165" s="278" t="str">
        <f t="shared" si="10"/>
        <v xml:space="preserve"> </v>
      </c>
      <c r="L165" s="278" t="str">
        <f t="shared" si="11"/>
        <v xml:space="preserve"> </v>
      </c>
      <c r="M165" s="843" t="str">
        <f t="shared" si="12"/>
        <v xml:space="preserve"> </v>
      </c>
      <c r="N165" s="843" t="str">
        <f t="shared" si="14"/>
        <v xml:space="preserve"> </v>
      </c>
    </row>
    <row r="166" spans="3:14">
      <c r="C166" s="844" t="s">
        <v>909</v>
      </c>
      <c r="D166" s="1377"/>
      <c r="E166" s="844" t="s">
        <v>1570</v>
      </c>
      <c r="F166" s="844"/>
      <c r="G166" s="844" t="s">
        <v>1571</v>
      </c>
      <c r="H166" s="1495">
        <v>531605.36</v>
      </c>
      <c r="I166" s="846" t="s">
        <v>328</v>
      </c>
      <c r="J166" s="843">
        <f t="shared" si="13"/>
        <v>531605.36</v>
      </c>
      <c r="K166" s="278" t="str">
        <f t="shared" si="10"/>
        <v xml:space="preserve"> </v>
      </c>
      <c r="L166" s="278" t="str">
        <f t="shared" si="11"/>
        <v xml:space="preserve"> </v>
      </c>
      <c r="M166" s="843" t="str">
        <f t="shared" si="12"/>
        <v xml:space="preserve"> </v>
      </c>
      <c r="N166" s="843" t="str">
        <f t="shared" si="14"/>
        <v xml:space="preserve"> </v>
      </c>
    </row>
    <row r="167" spans="3:14">
      <c r="C167" s="844" t="s">
        <v>909</v>
      </c>
      <c r="D167" s="1377"/>
      <c r="E167" s="844" t="s">
        <v>1572</v>
      </c>
      <c r="F167" s="844"/>
      <c r="G167" s="844" t="s">
        <v>1573</v>
      </c>
      <c r="H167" s="1495">
        <v>13522.06</v>
      </c>
      <c r="I167" s="846" t="s">
        <v>328</v>
      </c>
      <c r="J167" s="843">
        <f t="shared" si="13"/>
        <v>13522.06</v>
      </c>
      <c r="K167" s="278" t="str">
        <f t="shared" si="10"/>
        <v xml:space="preserve"> </v>
      </c>
      <c r="L167" s="278" t="str">
        <f t="shared" si="11"/>
        <v xml:space="preserve"> </v>
      </c>
      <c r="M167" s="843" t="str">
        <f t="shared" si="12"/>
        <v xml:space="preserve"> </v>
      </c>
      <c r="N167" s="843" t="str">
        <f t="shared" si="14"/>
        <v xml:space="preserve"> </v>
      </c>
    </row>
    <row r="168" spans="3:14">
      <c r="C168" s="844" t="s">
        <v>909</v>
      </c>
      <c r="D168" s="1377"/>
      <c r="E168" s="844" t="s">
        <v>1574</v>
      </c>
      <c r="F168" s="844"/>
      <c r="G168" s="844" t="s">
        <v>1575</v>
      </c>
      <c r="H168" s="1495">
        <v>19292.740000000002</v>
      </c>
      <c r="I168" s="846" t="s">
        <v>328</v>
      </c>
      <c r="J168" s="843">
        <f t="shared" si="13"/>
        <v>19292.740000000002</v>
      </c>
      <c r="K168" s="278" t="str">
        <f t="shared" si="10"/>
        <v xml:space="preserve"> </v>
      </c>
      <c r="L168" s="278" t="str">
        <f t="shared" si="11"/>
        <v xml:space="preserve"> </v>
      </c>
      <c r="M168" s="843" t="str">
        <f t="shared" si="12"/>
        <v xml:space="preserve"> </v>
      </c>
      <c r="N168" s="843" t="str">
        <f t="shared" si="14"/>
        <v xml:space="preserve"> </v>
      </c>
    </row>
    <row r="169" spans="3:14">
      <c r="C169" s="844" t="s">
        <v>909</v>
      </c>
      <c r="D169" s="1377" t="s">
        <v>375</v>
      </c>
      <c r="E169" s="844" t="s">
        <v>981</v>
      </c>
      <c r="F169" s="844"/>
      <c r="G169" s="844" t="s">
        <v>982</v>
      </c>
      <c r="H169" s="1495">
        <v>-348128.34</v>
      </c>
      <c r="I169" s="846" t="s">
        <v>328</v>
      </c>
      <c r="J169" s="843">
        <f t="shared" si="13"/>
        <v>-348128.34</v>
      </c>
      <c r="K169" s="278" t="str">
        <f t="shared" si="10"/>
        <v xml:space="preserve"> </v>
      </c>
      <c r="L169" s="278" t="str">
        <f t="shared" si="11"/>
        <v xml:space="preserve"> </v>
      </c>
      <c r="M169" s="843" t="str">
        <f t="shared" si="12"/>
        <v xml:space="preserve"> </v>
      </c>
      <c r="N169" s="843" t="str">
        <f t="shared" si="14"/>
        <v xml:space="preserve"> </v>
      </c>
    </row>
    <row r="170" spans="3:14">
      <c r="C170" s="844" t="s">
        <v>909</v>
      </c>
      <c r="D170" s="1377" t="s">
        <v>375</v>
      </c>
      <c r="E170" s="844" t="s">
        <v>1576</v>
      </c>
      <c r="F170" s="844"/>
      <c r="G170" s="844" t="s">
        <v>1577</v>
      </c>
      <c r="H170" s="1495">
        <v>19902.82</v>
      </c>
      <c r="I170" s="846" t="s">
        <v>328</v>
      </c>
      <c r="J170" s="843">
        <f t="shared" si="13"/>
        <v>19902.82</v>
      </c>
      <c r="K170" s="278" t="str">
        <f t="shared" si="10"/>
        <v xml:space="preserve"> </v>
      </c>
      <c r="L170" s="278" t="str">
        <f t="shared" si="11"/>
        <v xml:space="preserve"> </v>
      </c>
      <c r="M170" s="843" t="str">
        <f t="shared" si="12"/>
        <v xml:space="preserve"> </v>
      </c>
      <c r="N170" s="843" t="str">
        <f t="shared" si="14"/>
        <v xml:space="preserve"> </v>
      </c>
    </row>
    <row r="171" spans="3:14">
      <c r="C171" s="844" t="s">
        <v>909</v>
      </c>
      <c r="D171" s="1377" t="s">
        <v>375</v>
      </c>
      <c r="E171" s="844" t="s">
        <v>983</v>
      </c>
      <c r="F171" s="844"/>
      <c r="G171" s="844" t="s">
        <v>984</v>
      </c>
      <c r="H171" s="1495">
        <v>1271788.98</v>
      </c>
      <c r="I171" s="846" t="s">
        <v>328</v>
      </c>
      <c r="J171" s="843">
        <f t="shared" si="13"/>
        <v>1271788.98</v>
      </c>
      <c r="K171" s="278" t="str">
        <f t="shared" si="10"/>
        <v xml:space="preserve"> </v>
      </c>
      <c r="L171" s="278" t="str">
        <f t="shared" si="11"/>
        <v xml:space="preserve"> </v>
      </c>
      <c r="M171" s="843" t="str">
        <f t="shared" si="12"/>
        <v xml:space="preserve"> </v>
      </c>
      <c r="N171" s="843" t="str">
        <f t="shared" si="14"/>
        <v xml:space="preserve"> </v>
      </c>
    </row>
    <row r="172" spans="3:14">
      <c r="C172" s="844" t="s">
        <v>909</v>
      </c>
      <c r="D172" s="1377" t="s">
        <v>375</v>
      </c>
      <c r="E172" s="844" t="s">
        <v>985</v>
      </c>
      <c r="F172" s="844"/>
      <c r="G172" s="844" t="s">
        <v>986</v>
      </c>
      <c r="H172" s="1495">
        <v>-678289.71</v>
      </c>
      <c r="I172" s="846" t="s">
        <v>328</v>
      </c>
      <c r="J172" s="843">
        <f t="shared" si="13"/>
        <v>-678289.71</v>
      </c>
      <c r="K172" s="278" t="str">
        <f t="shared" si="10"/>
        <v xml:space="preserve"> </v>
      </c>
      <c r="L172" s="278" t="str">
        <f t="shared" si="11"/>
        <v xml:space="preserve"> </v>
      </c>
      <c r="M172" s="843" t="str">
        <f t="shared" si="12"/>
        <v xml:space="preserve"> </v>
      </c>
      <c r="N172" s="843" t="str">
        <f t="shared" si="14"/>
        <v xml:space="preserve"> </v>
      </c>
    </row>
    <row r="173" spans="3:14">
      <c r="C173" s="844" t="s">
        <v>909</v>
      </c>
      <c r="D173" s="1377" t="s">
        <v>375</v>
      </c>
      <c r="E173" s="844" t="s">
        <v>987</v>
      </c>
      <c r="F173" s="844"/>
      <c r="G173" s="844" t="s">
        <v>988</v>
      </c>
      <c r="H173" s="1495">
        <v>89765.34</v>
      </c>
      <c r="I173" s="846" t="s">
        <v>328</v>
      </c>
      <c r="J173" s="843">
        <f t="shared" si="13"/>
        <v>89765.34</v>
      </c>
      <c r="K173" s="278" t="str">
        <f t="shared" si="10"/>
        <v xml:space="preserve"> </v>
      </c>
      <c r="L173" s="278" t="str">
        <f t="shared" si="11"/>
        <v xml:space="preserve"> </v>
      </c>
      <c r="M173" s="843" t="str">
        <f t="shared" si="12"/>
        <v xml:space="preserve"> </v>
      </c>
      <c r="N173" s="843" t="str">
        <f t="shared" si="14"/>
        <v xml:space="preserve"> </v>
      </c>
    </row>
    <row r="174" spans="3:14">
      <c r="C174" s="844" t="s">
        <v>909</v>
      </c>
      <c r="D174" s="1377" t="s">
        <v>375</v>
      </c>
      <c r="E174" s="844" t="s">
        <v>989</v>
      </c>
      <c r="F174" s="844"/>
      <c r="G174" s="844" t="s">
        <v>990</v>
      </c>
      <c r="H174" s="1495">
        <v>-343306.97</v>
      </c>
      <c r="I174" s="846" t="s">
        <v>328</v>
      </c>
      <c r="J174" s="843">
        <f t="shared" si="13"/>
        <v>-343306.97</v>
      </c>
      <c r="K174" s="278" t="str">
        <f t="shared" si="10"/>
        <v xml:space="preserve"> </v>
      </c>
      <c r="L174" s="278" t="str">
        <f t="shared" si="11"/>
        <v xml:space="preserve"> </v>
      </c>
      <c r="M174" s="843" t="str">
        <f t="shared" si="12"/>
        <v xml:space="preserve"> </v>
      </c>
      <c r="N174" s="843" t="str">
        <f t="shared" si="14"/>
        <v xml:space="preserve"> </v>
      </c>
    </row>
    <row r="175" spans="3:14">
      <c r="C175" s="844" t="s">
        <v>909</v>
      </c>
      <c r="D175" s="1377" t="s">
        <v>375</v>
      </c>
      <c r="E175" s="844" t="s">
        <v>991</v>
      </c>
      <c r="F175" s="844"/>
      <c r="G175" s="844" t="s">
        <v>992</v>
      </c>
      <c r="H175" s="1495">
        <v>23692713.260000002</v>
      </c>
      <c r="I175" s="846" t="s">
        <v>328</v>
      </c>
      <c r="J175" s="843">
        <f t="shared" si="13"/>
        <v>23692713.260000002</v>
      </c>
      <c r="K175" s="278" t="str">
        <f t="shared" si="10"/>
        <v xml:space="preserve"> </v>
      </c>
      <c r="L175" s="278" t="str">
        <f t="shared" si="11"/>
        <v xml:space="preserve"> </v>
      </c>
      <c r="M175" s="843" t="str">
        <f t="shared" si="12"/>
        <v xml:space="preserve"> </v>
      </c>
      <c r="N175" s="843" t="str">
        <f t="shared" si="14"/>
        <v xml:space="preserve"> </v>
      </c>
    </row>
    <row r="176" spans="3:14">
      <c r="C176" s="844" t="s">
        <v>909</v>
      </c>
      <c r="D176" s="1377" t="s">
        <v>375</v>
      </c>
      <c r="E176" s="855" t="s">
        <v>1536</v>
      </c>
      <c r="F176" s="844"/>
      <c r="G176" s="844" t="s">
        <v>994</v>
      </c>
      <c r="H176" s="1495">
        <v>-20804.7</v>
      </c>
      <c r="I176" s="846" t="s">
        <v>328</v>
      </c>
      <c r="J176" s="843">
        <f t="shared" si="13"/>
        <v>-20804.7</v>
      </c>
      <c r="K176" s="278" t="str">
        <f t="shared" si="10"/>
        <v xml:space="preserve"> </v>
      </c>
      <c r="L176" s="278" t="str">
        <f t="shared" si="11"/>
        <v xml:space="preserve"> </v>
      </c>
      <c r="M176" s="843" t="str">
        <f t="shared" si="12"/>
        <v xml:space="preserve"> </v>
      </c>
      <c r="N176" s="843" t="str">
        <f t="shared" si="14"/>
        <v xml:space="preserve"> </v>
      </c>
    </row>
    <row r="177" spans="3:14">
      <c r="C177" s="844" t="s">
        <v>909</v>
      </c>
      <c r="D177" s="1377" t="s">
        <v>375</v>
      </c>
      <c r="E177" s="844" t="s">
        <v>1281</v>
      </c>
      <c r="F177" s="844"/>
      <c r="G177" s="844" t="s">
        <v>996</v>
      </c>
      <c r="H177" s="1495">
        <v>-457590</v>
      </c>
      <c r="I177" s="846" t="s">
        <v>328</v>
      </c>
      <c r="J177" s="843">
        <f t="shared" si="13"/>
        <v>-457590</v>
      </c>
      <c r="K177" s="278" t="str">
        <f t="shared" si="10"/>
        <v xml:space="preserve"> </v>
      </c>
      <c r="L177" s="278" t="str">
        <f t="shared" si="11"/>
        <v xml:space="preserve"> </v>
      </c>
      <c r="M177" s="843" t="str">
        <f t="shared" si="12"/>
        <v xml:space="preserve"> </v>
      </c>
      <c r="N177" s="843" t="str">
        <f t="shared" si="14"/>
        <v xml:space="preserve"> </v>
      </c>
    </row>
    <row r="178" spans="3:14">
      <c r="C178" s="844" t="s">
        <v>909</v>
      </c>
      <c r="D178" s="1377" t="s">
        <v>375</v>
      </c>
      <c r="E178" s="844" t="s">
        <v>1281</v>
      </c>
      <c r="F178" s="844"/>
      <c r="G178" s="844" t="s">
        <v>997</v>
      </c>
      <c r="H178" s="1495">
        <v>457590</v>
      </c>
      <c r="I178" s="846" t="s">
        <v>328</v>
      </c>
      <c r="J178" s="843">
        <f t="shared" si="13"/>
        <v>457590</v>
      </c>
      <c r="K178" s="278" t="str">
        <f t="shared" si="10"/>
        <v xml:space="preserve"> </v>
      </c>
      <c r="L178" s="278" t="str">
        <f t="shared" si="11"/>
        <v xml:space="preserve"> </v>
      </c>
      <c r="M178" s="843" t="str">
        <f t="shared" si="12"/>
        <v xml:space="preserve"> </v>
      </c>
      <c r="N178" s="843" t="str">
        <f t="shared" si="14"/>
        <v xml:space="preserve"> </v>
      </c>
    </row>
    <row r="179" spans="3:14">
      <c r="C179" s="844" t="s">
        <v>909</v>
      </c>
      <c r="D179" s="1377" t="s">
        <v>375</v>
      </c>
      <c r="E179" s="855" t="s">
        <v>1537</v>
      </c>
      <c r="F179" s="844"/>
      <c r="G179" s="844" t="s">
        <v>999</v>
      </c>
      <c r="H179" s="1495">
        <v>-725326.86</v>
      </c>
      <c r="I179" s="846" t="s">
        <v>328</v>
      </c>
      <c r="J179" s="843">
        <f t="shared" si="13"/>
        <v>-725326.86</v>
      </c>
      <c r="K179" s="278" t="str">
        <f t="shared" si="10"/>
        <v xml:space="preserve"> </v>
      </c>
      <c r="L179" s="278" t="str">
        <f t="shared" si="11"/>
        <v xml:space="preserve"> </v>
      </c>
      <c r="M179" s="843" t="str">
        <f t="shared" si="12"/>
        <v xml:space="preserve"> </v>
      </c>
      <c r="N179" s="843" t="str">
        <f t="shared" si="14"/>
        <v xml:space="preserve"> </v>
      </c>
    </row>
    <row r="180" spans="3:14">
      <c r="C180" s="844" t="s">
        <v>909</v>
      </c>
      <c r="D180" s="1377" t="s">
        <v>375</v>
      </c>
      <c r="E180" s="844" t="s">
        <v>1538</v>
      </c>
      <c r="F180" s="844"/>
      <c r="G180" s="844" t="s">
        <v>1000</v>
      </c>
      <c r="H180" s="1495">
        <v>565362.51</v>
      </c>
      <c r="I180" s="846" t="s">
        <v>328</v>
      </c>
      <c r="J180" s="843">
        <f t="shared" si="13"/>
        <v>565362.51</v>
      </c>
      <c r="K180" s="278" t="str">
        <f t="shared" si="10"/>
        <v xml:space="preserve"> </v>
      </c>
      <c r="L180" s="278" t="str">
        <f t="shared" si="11"/>
        <v xml:space="preserve"> </v>
      </c>
      <c r="M180" s="843" t="str">
        <f t="shared" si="12"/>
        <v xml:space="preserve"> </v>
      </c>
      <c r="N180" s="843" t="str">
        <f t="shared" si="14"/>
        <v xml:space="preserve"> </v>
      </c>
    </row>
    <row r="181" spans="3:14">
      <c r="C181" s="844" t="s">
        <v>909</v>
      </c>
      <c r="D181" s="1377" t="s">
        <v>375</v>
      </c>
      <c r="E181" s="844" t="s">
        <v>1001</v>
      </c>
      <c r="F181" s="844"/>
      <c r="G181" s="844" t="s">
        <v>1002</v>
      </c>
      <c r="H181" s="1495">
        <v>11265.66</v>
      </c>
      <c r="I181" s="846" t="s">
        <v>328</v>
      </c>
      <c r="J181" s="843">
        <f t="shared" si="13"/>
        <v>11265.66</v>
      </c>
      <c r="K181" s="278" t="str">
        <f t="shared" si="10"/>
        <v xml:space="preserve"> </v>
      </c>
      <c r="L181" s="278" t="str">
        <f t="shared" si="11"/>
        <v xml:space="preserve"> </v>
      </c>
      <c r="M181" s="843" t="str">
        <f t="shared" si="12"/>
        <v xml:space="preserve"> </v>
      </c>
      <c r="N181" s="843" t="str">
        <f t="shared" si="14"/>
        <v xml:space="preserve"> </v>
      </c>
    </row>
    <row r="182" spans="3:14">
      <c r="C182" s="844" t="s">
        <v>909</v>
      </c>
      <c r="D182" s="1377"/>
      <c r="E182" s="844" t="s">
        <v>1539</v>
      </c>
      <c r="F182" s="844"/>
      <c r="G182" s="844" t="s">
        <v>1578</v>
      </c>
      <c r="H182" s="1495">
        <v>-1356243.21</v>
      </c>
      <c r="I182" s="846" t="s">
        <v>328</v>
      </c>
      <c r="J182" s="843">
        <f t="shared" si="13"/>
        <v>-1356243.21</v>
      </c>
      <c r="K182" s="278" t="str">
        <f t="shared" si="10"/>
        <v xml:space="preserve"> </v>
      </c>
      <c r="L182" s="278" t="str">
        <f t="shared" si="11"/>
        <v xml:space="preserve"> </v>
      </c>
      <c r="M182" s="843" t="str">
        <f t="shared" si="12"/>
        <v xml:space="preserve"> </v>
      </c>
      <c r="N182" s="843" t="str">
        <f t="shared" si="14"/>
        <v xml:space="preserve"> </v>
      </c>
    </row>
    <row r="183" spans="3:14">
      <c r="C183" s="844" t="s">
        <v>909</v>
      </c>
      <c r="D183" s="1377"/>
      <c r="E183" s="844" t="s">
        <v>1003</v>
      </c>
      <c r="F183" s="844"/>
      <c r="G183" s="844" t="s">
        <v>1004</v>
      </c>
      <c r="H183" s="1495">
        <v>363635.28</v>
      </c>
      <c r="I183" s="846" t="s">
        <v>184</v>
      </c>
      <c r="J183" s="843" t="str">
        <f t="shared" ref="J183:J191" si="15">IF(I183="e",H183," ")</f>
        <v xml:space="preserve"> </v>
      </c>
      <c r="K183" s="278" t="str">
        <f t="shared" si="10"/>
        <v xml:space="preserve"> </v>
      </c>
      <c r="L183" s="278">
        <f t="shared" si="11"/>
        <v>363635.28</v>
      </c>
      <c r="M183" s="843" t="str">
        <f t="shared" si="12"/>
        <v xml:space="preserve"> </v>
      </c>
      <c r="N183" s="843" t="str">
        <f t="shared" ref="N183:N191" si="16">IF(I183="Labor",H183," ")</f>
        <v xml:space="preserve"> </v>
      </c>
    </row>
    <row r="184" spans="3:14">
      <c r="C184" s="844" t="s">
        <v>909</v>
      </c>
      <c r="D184" s="1377"/>
      <c r="E184" s="844" t="s">
        <v>1005</v>
      </c>
      <c r="F184" s="844"/>
      <c r="G184" s="844" t="s">
        <v>1006</v>
      </c>
      <c r="H184" s="1495">
        <v>-0.25</v>
      </c>
      <c r="I184" s="846" t="s">
        <v>328</v>
      </c>
      <c r="J184" s="843">
        <f t="shared" si="15"/>
        <v>-0.25</v>
      </c>
      <c r="K184" s="278" t="str">
        <f t="shared" si="10"/>
        <v xml:space="preserve"> </v>
      </c>
      <c r="L184" s="278" t="str">
        <f t="shared" si="11"/>
        <v xml:space="preserve"> </v>
      </c>
      <c r="M184" s="843" t="str">
        <f t="shared" si="12"/>
        <v xml:space="preserve"> </v>
      </c>
      <c r="N184" s="843" t="str">
        <f t="shared" si="16"/>
        <v xml:space="preserve"> </v>
      </c>
    </row>
    <row r="185" spans="3:14">
      <c r="C185" s="844" t="s">
        <v>909</v>
      </c>
      <c r="D185" s="1377"/>
      <c r="E185" s="844" t="s">
        <v>1007</v>
      </c>
      <c r="F185" s="844"/>
      <c r="G185" s="844" t="s">
        <v>1008</v>
      </c>
      <c r="H185" s="1495">
        <v>0</v>
      </c>
      <c r="I185" s="846" t="s">
        <v>328</v>
      </c>
      <c r="J185" s="843">
        <f t="shared" si="15"/>
        <v>0</v>
      </c>
      <c r="K185" s="278" t="str">
        <f t="shared" si="10"/>
        <v xml:space="preserve"> </v>
      </c>
      <c r="L185" s="278" t="str">
        <f t="shared" si="11"/>
        <v xml:space="preserve"> </v>
      </c>
      <c r="M185" s="843" t="str">
        <f t="shared" si="12"/>
        <v xml:space="preserve"> </v>
      </c>
      <c r="N185" s="843" t="str">
        <f t="shared" si="16"/>
        <v xml:space="preserve"> </v>
      </c>
    </row>
    <row r="186" spans="3:14">
      <c r="C186" s="844" t="s">
        <v>909</v>
      </c>
      <c r="D186" s="1377"/>
      <c r="E186" s="844" t="s">
        <v>1540</v>
      </c>
      <c r="F186" s="844"/>
      <c r="G186" s="844" t="s">
        <v>1579</v>
      </c>
      <c r="H186" s="1495">
        <v>24140.74</v>
      </c>
      <c r="I186" s="846" t="s">
        <v>337</v>
      </c>
      <c r="J186" s="843" t="str">
        <f t="shared" si="15"/>
        <v xml:space="preserve"> </v>
      </c>
      <c r="K186" s="278" t="str">
        <f t="shared" ref="K186:K191" si="17">IF($I186="T",$H186," ")</f>
        <v xml:space="preserve"> </v>
      </c>
      <c r="L186" s="278" t="str">
        <f t="shared" ref="L186:L191" si="18">IF($I186="PTD",$H186," ")</f>
        <v xml:space="preserve"> </v>
      </c>
      <c r="M186" s="843" t="str">
        <f t="shared" ref="M186:M191" si="19">IF($I186="T&amp;D",$H186," ")</f>
        <v xml:space="preserve"> </v>
      </c>
      <c r="N186" s="843">
        <f t="shared" si="16"/>
        <v>24140.74</v>
      </c>
    </row>
    <row r="187" spans="3:14">
      <c r="C187" s="844" t="s">
        <v>909</v>
      </c>
      <c r="D187" s="1377"/>
      <c r="E187" s="844" t="s">
        <v>1541</v>
      </c>
      <c r="F187" s="844"/>
      <c r="G187" s="844" t="s">
        <v>1580</v>
      </c>
      <c r="H187" s="1495">
        <v>117713.52</v>
      </c>
      <c r="I187" s="846" t="s">
        <v>337</v>
      </c>
      <c r="J187" s="843" t="str">
        <f t="shared" si="15"/>
        <v xml:space="preserve"> </v>
      </c>
      <c r="K187" s="278" t="str">
        <f t="shared" si="17"/>
        <v xml:space="preserve"> </v>
      </c>
      <c r="L187" s="278" t="str">
        <f t="shared" si="18"/>
        <v xml:space="preserve"> </v>
      </c>
      <c r="M187" s="843" t="str">
        <f t="shared" si="19"/>
        <v xml:space="preserve"> </v>
      </c>
      <c r="N187" s="843">
        <f t="shared" si="16"/>
        <v>117713.52</v>
      </c>
    </row>
    <row r="188" spans="3:14">
      <c r="C188" s="844"/>
      <c r="D188" s="1377"/>
      <c r="E188" s="844"/>
      <c r="F188" s="844"/>
      <c r="G188" s="844"/>
      <c r="H188" s="1495"/>
      <c r="I188" s="846"/>
      <c r="J188" s="843" t="str">
        <f t="shared" si="15"/>
        <v xml:space="preserve"> </v>
      </c>
      <c r="K188" s="278" t="str">
        <f t="shared" si="17"/>
        <v xml:space="preserve"> </v>
      </c>
      <c r="L188" s="278" t="str">
        <f t="shared" si="18"/>
        <v xml:space="preserve"> </v>
      </c>
      <c r="M188" s="843" t="str">
        <f t="shared" si="19"/>
        <v xml:space="preserve"> </v>
      </c>
      <c r="N188" s="843" t="str">
        <f t="shared" si="16"/>
        <v xml:space="preserve"> </v>
      </c>
    </row>
    <row r="189" spans="3:14">
      <c r="C189" s="1278">
        <v>1901002</v>
      </c>
      <c r="D189" s="1377"/>
      <c r="E189" s="844" t="s">
        <v>1583</v>
      </c>
      <c r="F189" s="844"/>
      <c r="G189" s="844" t="s">
        <v>1586</v>
      </c>
      <c r="H189" s="1495">
        <v>4345535.45</v>
      </c>
      <c r="I189" s="846" t="s">
        <v>328</v>
      </c>
      <c r="J189" s="843">
        <f t="shared" si="15"/>
        <v>4345535.45</v>
      </c>
      <c r="K189" s="278" t="str">
        <f t="shared" si="17"/>
        <v xml:space="preserve"> </v>
      </c>
      <c r="L189" s="278" t="str">
        <f t="shared" si="18"/>
        <v xml:space="preserve"> </v>
      </c>
      <c r="M189" s="843" t="str">
        <f t="shared" si="19"/>
        <v xml:space="preserve"> </v>
      </c>
      <c r="N189" s="843" t="str">
        <f t="shared" si="16"/>
        <v xml:space="preserve"> </v>
      </c>
    </row>
    <row r="190" spans="3:14">
      <c r="C190" s="1278">
        <v>1901002</v>
      </c>
      <c r="D190" s="1377"/>
      <c r="E190" s="844" t="s">
        <v>1584</v>
      </c>
      <c r="F190" s="844"/>
      <c r="G190" s="844" t="s">
        <v>1587</v>
      </c>
      <c r="H190" s="1495">
        <v>39616662.109999999</v>
      </c>
      <c r="I190" s="846" t="s">
        <v>328</v>
      </c>
      <c r="J190" s="843">
        <f t="shared" si="15"/>
        <v>39616662.109999999</v>
      </c>
      <c r="K190" s="278" t="str">
        <f t="shared" si="17"/>
        <v xml:space="preserve"> </v>
      </c>
      <c r="L190" s="278" t="str">
        <f t="shared" si="18"/>
        <v xml:space="preserve"> </v>
      </c>
      <c r="M190" s="843" t="str">
        <f t="shared" si="19"/>
        <v xml:space="preserve"> </v>
      </c>
      <c r="N190" s="843" t="str">
        <f t="shared" si="16"/>
        <v xml:space="preserve"> </v>
      </c>
    </row>
    <row r="191" spans="3:14">
      <c r="C191" s="1278">
        <v>1901002</v>
      </c>
      <c r="D191" s="1377"/>
      <c r="E191" s="844" t="s">
        <v>1585</v>
      </c>
      <c r="F191" s="844"/>
      <c r="G191" s="844" t="s">
        <v>1588</v>
      </c>
      <c r="H191" s="1495">
        <v>217419.09</v>
      </c>
      <c r="I191" s="846" t="s">
        <v>328</v>
      </c>
      <c r="J191" s="843">
        <f t="shared" si="15"/>
        <v>217419.09</v>
      </c>
      <c r="K191" s="278" t="str">
        <f t="shared" si="17"/>
        <v xml:space="preserve"> </v>
      </c>
      <c r="L191" s="278" t="str">
        <f t="shared" si="18"/>
        <v xml:space="preserve"> </v>
      </c>
      <c r="M191" s="843" t="str">
        <f t="shared" si="19"/>
        <v xml:space="preserve"> </v>
      </c>
      <c r="N191" s="843" t="str">
        <f t="shared" si="16"/>
        <v xml:space="preserve"> </v>
      </c>
    </row>
    <row r="192" spans="3:14">
      <c r="C192" s="1118"/>
      <c r="D192" s="1119"/>
      <c r="E192" s="1118"/>
      <c r="G192" s="1118"/>
      <c r="H192" s="1120"/>
      <c r="I192" s="1121"/>
      <c r="J192" s="1122" t="str">
        <f>IF(I192="e",H192," ")</f>
        <v xml:space="preserve"> </v>
      </c>
      <c r="K192" s="278" t="str">
        <f>IF($I192="T",$H192," ")</f>
        <v xml:space="preserve"> </v>
      </c>
      <c r="L192" s="278" t="str">
        <f>IF($I192="PTD",$H192," ")</f>
        <v xml:space="preserve"> </v>
      </c>
      <c r="M192" s="1122" t="str">
        <f>IF($I192="T&amp;D",$H192," ")</f>
        <v xml:space="preserve"> </v>
      </c>
      <c r="N192" s="1122" t="str">
        <f>IF(I192="Labor",H192," ")</f>
        <v xml:space="preserve"> </v>
      </c>
    </row>
    <row r="193" spans="3:15">
      <c r="C193" s="1125"/>
      <c r="D193" s="1119"/>
      <c r="E193" s="1118"/>
      <c r="G193" s="1118" t="s">
        <v>1467</v>
      </c>
      <c r="H193" s="1120">
        <v>1448230.3</v>
      </c>
      <c r="I193" s="1121"/>
      <c r="J193" s="1120">
        <v>1285562</v>
      </c>
      <c r="K193" s="1120">
        <v>0</v>
      </c>
      <c r="L193" s="1120">
        <v>53885</v>
      </c>
      <c r="M193" s="1120">
        <v>0</v>
      </c>
      <c r="N193" s="1120">
        <v>108784</v>
      </c>
    </row>
    <row r="194" spans="3:15">
      <c r="C194" s="704"/>
      <c r="J194" s="268"/>
    </row>
    <row r="195" spans="3:15">
      <c r="C195" s="706">
        <v>190.1</v>
      </c>
      <c r="D195" s="38"/>
      <c r="G195" s="194" t="s">
        <v>185</v>
      </c>
      <c r="H195" s="677">
        <f>SUM(H118:H194)</f>
        <v>113842055.69999999</v>
      </c>
      <c r="I195" s="278"/>
      <c r="J195" s="677">
        <f>SUM(J118:J194)</f>
        <v>102734950.75999999</v>
      </c>
      <c r="K195" s="677">
        <f>SUM(K118:K194)</f>
        <v>0</v>
      </c>
      <c r="L195" s="677">
        <f>SUM(L118:L194)</f>
        <v>4243839.5500000007</v>
      </c>
      <c r="M195" s="677">
        <f>SUM(M118:M194)</f>
        <v>0</v>
      </c>
      <c r="N195" s="677">
        <f>SUM(N118:N194)</f>
        <v>6863266.0899999999</v>
      </c>
      <c r="O195" s="1117"/>
    </row>
    <row r="196" spans="3:15">
      <c r="G196" s="729" t="s">
        <v>151</v>
      </c>
      <c r="H196" s="1380"/>
      <c r="J196" s="675"/>
    </row>
    <row r="198" spans="3:15" ht="33" customHeight="1">
      <c r="C198" s="1565"/>
      <c r="D198" s="1565"/>
      <c r="E198" s="1565"/>
      <c r="F198" s="1565"/>
      <c r="G198" s="1565"/>
      <c r="H198" s="1565"/>
      <c r="I198" s="1565"/>
      <c r="J198" s="1565"/>
      <c r="K198" s="1565"/>
      <c r="L198" s="1565"/>
      <c r="M198" s="1565"/>
      <c r="N198" s="1565"/>
    </row>
    <row r="211" spans="3:8">
      <c r="C211" s="40"/>
      <c r="D211" s="1119"/>
      <c r="E211" s="40"/>
      <c r="G211" s="40"/>
      <c r="H211" s="1126"/>
    </row>
    <row r="247" spans="3:6">
      <c r="C247" s="40"/>
      <c r="D247" s="40"/>
      <c r="E247" s="40"/>
      <c r="F247" s="1124"/>
    </row>
    <row r="248" spans="3:6">
      <c r="C248" s="40"/>
      <c r="D248" s="40"/>
      <c r="E248" s="40"/>
    </row>
    <row r="249" spans="3:6">
      <c r="C249" s="40"/>
      <c r="D249" s="40"/>
      <c r="E249" s="40"/>
    </row>
    <row r="250" spans="3:6">
      <c r="C250" s="40"/>
      <c r="D250" s="40"/>
      <c r="E250" s="40"/>
    </row>
    <row r="251" spans="3:6">
      <c r="C251" s="40"/>
      <c r="D251" s="40"/>
      <c r="E251" s="40"/>
    </row>
    <row r="252" spans="3:6">
      <c r="C252" s="40"/>
      <c r="D252" s="40"/>
      <c r="E252" s="40"/>
    </row>
    <row r="253" spans="3:6">
      <c r="C253" s="40"/>
      <c r="D253" s="40"/>
      <c r="E253" s="40"/>
    </row>
    <row r="254" spans="3:6">
      <c r="C254" s="40"/>
      <c r="D254" s="40"/>
      <c r="E254" s="40"/>
    </row>
    <row r="255" spans="3:6">
      <c r="C255" s="40"/>
      <c r="D255" s="40"/>
      <c r="E255" s="40"/>
    </row>
    <row r="256" spans="3:6">
      <c r="C256" s="40"/>
      <c r="D256" s="40"/>
      <c r="E256" s="40"/>
    </row>
    <row r="257" spans="3:5">
      <c r="C257" s="40"/>
      <c r="D257" s="40"/>
      <c r="E257" s="40"/>
    </row>
    <row r="258" spans="3:5">
      <c r="C258" s="40"/>
      <c r="D258" s="40"/>
      <c r="E258" s="40"/>
    </row>
    <row r="259" spans="3:5">
      <c r="C259" s="40"/>
      <c r="D259" s="40"/>
      <c r="E259" s="40"/>
    </row>
    <row r="260" spans="3:5">
      <c r="C260" s="40"/>
      <c r="D260" s="40"/>
      <c r="E260" s="40"/>
    </row>
    <row r="261" spans="3:5">
      <c r="C261" s="40"/>
      <c r="D261" s="40"/>
      <c r="E261" s="40"/>
    </row>
    <row r="262" spans="3:5">
      <c r="C262" s="40"/>
      <c r="D262" s="40"/>
      <c r="E262" s="40"/>
    </row>
    <row r="263" spans="3:5">
      <c r="C263" s="40"/>
      <c r="D263" s="40"/>
      <c r="E263" s="40"/>
    </row>
    <row r="264" spans="3:5">
      <c r="C264" s="40"/>
      <c r="D264" s="40"/>
      <c r="E264" s="40"/>
    </row>
    <row r="265" spans="3:5">
      <c r="C265" s="40"/>
      <c r="D265" s="40"/>
      <c r="E265" s="40"/>
    </row>
    <row r="266" spans="3:5">
      <c r="D266" s="38"/>
    </row>
    <row r="267" spans="3:5">
      <c r="D267" s="38"/>
    </row>
    <row r="268" spans="3:5">
      <c r="D268" s="38"/>
    </row>
    <row r="269" spans="3:5">
      <c r="D269" s="38"/>
    </row>
    <row r="270" spans="3:5">
      <c r="D270" s="38"/>
    </row>
    <row r="271" spans="3:5">
      <c r="D271" s="38"/>
    </row>
    <row r="272" spans="3:5">
      <c r="D272" s="38"/>
    </row>
    <row r="273" spans="3:7">
      <c r="D273" s="38"/>
    </row>
    <row r="274" spans="3:7">
      <c r="D274" s="38"/>
    </row>
    <row r="275" spans="3:7">
      <c r="D275" s="38"/>
    </row>
    <row r="276" spans="3:7">
      <c r="D276" s="38"/>
    </row>
    <row r="277" spans="3:7">
      <c r="D277" s="38"/>
    </row>
    <row r="278" spans="3:7">
      <c r="D278" s="38"/>
    </row>
    <row r="279" spans="3:7">
      <c r="D279" s="38"/>
    </row>
    <row r="280" spans="3:7">
      <c r="D280" s="38"/>
    </row>
    <row r="281" spans="3:7">
      <c r="D281" s="38"/>
    </row>
    <row r="282" spans="3:7">
      <c r="D282" s="38"/>
    </row>
    <row r="283" spans="3:7">
      <c r="C283" s="40"/>
      <c r="D283" s="1119"/>
      <c r="E283" s="40"/>
      <c r="F283" s="40"/>
      <c r="G283" s="40"/>
    </row>
    <row r="284" spans="3:7">
      <c r="C284" s="40"/>
      <c r="D284" s="1119"/>
      <c r="E284" s="40"/>
      <c r="F284" s="40"/>
      <c r="G284" s="40"/>
    </row>
    <row r="285" spans="3:7">
      <c r="C285" s="40"/>
      <c r="D285" s="1119"/>
      <c r="E285" s="40"/>
      <c r="F285" s="40"/>
      <c r="G285" s="40"/>
    </row>
    <row r="286" spans="3:7">
      <c r="C286" s="40"/>
      <c r="D286" s="1119"/>
      <c r="E286" s="40"/>
      <c r="F286" s="40"/>
      <c r="G286" s="40"/>
    </row>
    <row r="287" spans="3:7">
      <c r="C287" s="40"/>
      <c r="D287" s="1119"/>
      <c r="E287" s="40"/>
      <c r="F287" s="40"/>
      <c r="G287" s="40"/>
    </row>
    <row r="288" spans="3:7">
      <c r="C288" s="40"/>
      <c r="D288" s="1119"/>
      <c r="E288" s="40"/>
      <c r="F288" s="40"/>
      <c r="G288" s="40"/>
    </row>
  </sheetData>
  <mergeCells count="6">
    <mergeCell ref="C198:N198"/>
    <mergeCell ref="C2:N2"/>
    <mergeCell ref="C3:N3"/>
    <mergeCell ref="C4:N4"/>
    <mergeCell ref="C5:N5"/>
    <mergeCell ref="J7:N7"/>
  </mergeCells>
  <conditionalFormatting sqref="O195 O114 O50:O51">
    <cfRule type="cellIs" dxfId="4" priority="2" stopIfTrue="1" operator="equal">
      <formula>FALSE</formula>
    </cfRule>
  </conditionalFormatting>
  <conditionalFormatting sqref="O52">
    <cfRule type="cellIs" dxfId="3" priority="1" stopIfTrue="1" operator="equal">
      <formula>FALSE</formula>
    </cfRule>
  </conditionalFormatting>
  <pageMargins left="0.5" right="0.5" top="1" bottom="0.5" header="0.5" footer="0.5"/>
  <pageSetup scale="50" fitToHeight="0" orientation="portrait" r:id="rId1"/>
  <headerFooter alignWithMargins="0">
    <oddHeader>&amp;R&amp;18AEP - SPP Formula Rate
TCOS - WS-C1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2"/>
  <sheetViews>
    <sheetView zoomScale="90" zoomScaleNormal="90" zoomScaleSheetLayoutView="75" zoomScalePageLayoutView="75" workbookViewId="0">
      <selection activeCell="O34" sqref="O34"/>
    </sheetView>
  </sheetViews>
  <sheetFormatPr defaultColWidth="8.85546875" defaultRowHeight="12.75"/>
  <cols>
    <col min="1" max="2" width="1.7109375" style="38" customWidth="1"/>
    <col min="3" max="3" width="10.7109375" style="38" customWidth="1"/>
    <col min="4" max="4" width="1.7109375" style="1124" customWidth="1"/>
    <col min="5" max="5" width="11.140625" style="38" customWidth="1"/>
    <col min="6" max="6" width="1.7109375" style="38" customWidth="1"/>
    <col min="7" max="7" width="53.28515625" style="38" customWidth="1"/>
    <col min="8" max="8" width="18.7109375" style="1101" customWidth="1"/>
    <col min="9" max="9" width="11.7109375" style="38" customWidth="1"/>
    <col min="10" max="10" width="15.28515625" style="38" customWidth="1"/>
    <col min="11" max="11" width="13.28515625" style="38" customWidth="1"/>
    <col min="12" max="12" width="18.85546875" style="38" customWidth="1"/>
    <col min="13" max="14" width="13.28515625" style="38" customWidth="1"/>
    <col min="15" max="16384" width="8.85546875" style="38"/>
  </cols>
  <sheetData>
    <row r="1" spans="1:15" ht="20.25">
      <c r="A1" s="709"/>
      <c r="B1" s="1115"/>
      <c r="D1" s="38"/>
      <c r="I1" s="1286"/>
      <c r="J1" s="1286"/>
      <c r="K1" s="1286"/>
      <c r="L1" s="1286"/>
      <c r="M1" s="1286"/>
      <c r="N1" s="165" t="s">
        <v>291</v>
      </c>
      <c r="O1" s="667"/>
    </row>
    <row r="2" spans="1:15" ht="20.25">
      <c r="A2" s="165"/>
      <c r="B2" s="1363"/>
      <c r="C2" s="1564" t="str">
        <f>+'SWEPCO TCOS'!F3</f>
        <v xml:space="preserve">AEP West SPP Member Operating Companies </v>
      </c>
      <c r="D2" s="1564"/>
      <c r="E2" s="1564"/>
      <c r="F2" s="1564"/>
      <c r="G2" s="1564"/>
      <c r="H2" s="1564"/>
      <c r="I2" s="1564"/>
      <c r="J2" s="1564"/>
      <c r="K2" s="1564"/>
      <c r="L2" s="1564"/>
      <c r="M2" s="1564"/>
      <c r="N2" s="1564"/>
      <c r="O2" s="667"/>
    </row>
    <row r="3" spans="1:15" ht="18">
      <c r="C3" s="1562" t="str">
        <f>+'SWEPCO TCOS'!F7</f>
        <v>SOUTHWESTERN ELECTRIC POWER COMPANY</v>
      </c>
      <c r="D3" s="1562"/>
      <c r="E3" s="1562"/>
      <c r="F3" s="1562"/>
      <c r="G3" s="1562"/>
      <c r="H3" s="1562"/>
      <c r="I3" s="1562"/>
      <c r="J3" s="1562"/>
      <c r="K3" s="1562"/>
      <c r="L3" s="1562"/>
      <c r="M3" s="1562"/>
      <c r="N3" s="1562"/>
      <c r="O3" s="667"/>
    </row>
    <row r="4" spans="1:15" ht="18">
      <c r="C4" s="1562" t="s">
        <v>1133</v>
      </c>
      <c r="D4" s="1562"/>
      <c r="E4" s="1562"/>
      <c r="F4" s="1562"/>
      <c r="G4" s="1562"/>
      <c r="H4" s="1562"/>
      <c r="I4" s="1562"/>
      <c r="J4" s="1562"/>
      <c r="K4" s="1562"/>
      <c r="L4" s="1562"/>
      <c r="M4" s="1562"/>
      <c r="N4" s="1562"/>
    </row>
    <row r="5" spans="1:15" ht="23.25" customHeight="1">
      <c r="C5" s="1568" t="str">
        <f>"AS OF DECEMBER 31, "&amp;'SWEPCO TCOS'!N1-1&amp;""</f>
        <v>AS OF DECEMBER 31, 2018</v>
      </c>
      <c r="D5" s="1568"/>
      <c r="E5" s="1568"/>
      <c r="F5" s="1568"/>
      <c r="G5" s="1568"/>
      <c r="H5" s="1568"/>
      <c r="I5" s="1568"/>
      <c r="J5" s="1568"/>
      <c r="K5" s="1568"/>
      <c r="L5" s="1568"/>
      <c r="M5" s="1568"/>
      <c r="N5" s="1568"/>
    </row>
    <row r="6" spans="1:15">
      <c r="D6" s="38"/>
    </row>
    <row r="7" spans="1:15">
      <c r="D7" s="38"/>
      <c r="J7" s="1566" t="s">
        <v>178</v>
      </c>
      <c r="K7" s="1566"/>
      <c r="L7" s="1566"/>
      <c r="M7" s="1566"/>
      <c r="N7" s="1566"/>
    </row>
    <row r="8" spans="1:15" ht="25.5">
      <c r="C8" s="668" t="s">
        <v>439</v>
      </c>
      <c r="D8" s="113"/>
      <c r="E8" s="668" t="s">
        <v>179</v>
      </c>
      <c r="G8" s="668" t="s">
        <v>343</v>
      </c>
      <c r="H8" s="1116" t="s">
        <v>353</v>
      </c>
      <c r="I8" s="193" t="s">
        <v>103</v>
      </c>
      <c r="J8" s="193" t="s">
        <v>180</v>
      </c>
      <c r="K8" s="193" t="s">
        <v>181</v>
      </c>
      <c r="L8" s="668" t="s">
        <v>182</v>
      </c>
      <c r="M8" s="668" t="s">
        <v>183</v>
      </c>
      <c r="N8" s="668" t="s">
        <v>337</v>
      </c>
    </row>
    <row r="9" spans="1:15">
      <c r="C9" s="844" t="s">
        <v>840</v>
      </c>
      <c r="D9" s="1377" t="s">
        <v>375</v>
      </c>
      <c r="E9" s="844" t="s">
        <v>1211</v>
      </c>
      <c r="F9" s="855"/>
      <c r="G9" s="868" t="s">
        <v>1285</v>
      </c>
      <c r="H9" s="868">
        <v>-659659176.40999997</v>
      </c>
      <c r="I9" s="846" t="s">
        <v>184</v>
      </c>
      <c r="J9" s="1378" t="str">
        <f>IF(I9="e",H9," ")</f>
        <v xml:space="preserve"> </v>
      </c>
      <c r="K9" s="278" t="str">
        <f t="shared" ref="K9:K47" si="0">IF($I9="T",$H9," ")</f>
        <v xml:space="preserve"> </v>
      </c>
      <c r="L9" s="278">
        <f t="shared" ref="L9:L47" si="1">IF($I9="PTD",$H9," ")</f>
        <v>-659659176.40999997</v>
      </c>
      <c r="M9" s="1378" t="str">
        <f t="shared" ref="M9:M47" si="2">IF($I9="T&amp;D",$H9," ")</f>
        <v xml:space="preserve"> </v>
      </c>
      <c r="N9" s="1378" t="str">
        <f>IF(I9="Labor",H9," ")</f>
        <v xml:space="preserve"> </v>
      </c>
    </row>
    <row r="10" spans="1:15">
      <c r="C10" s="844" t="s">
        <v>840</v>
      </c>
      <c r="D10" s="1377" t="s">
        <v>375</v>
      </c>
      <c r="E10" s="844" t="s">
        <v>1212</v>
      </c>
      <c r="F10" s="855"/>
      <c r="G10" s="868" t="s">
        <v>842</v>
      </c>
      <c r="H10" s="1495">
        <v>-763036.47</v>
      </c>
      <c r="I10" s="846" t="s">
        <v>184</v>
      </c>
      <c r="J10" s="1378" t="str">
        <f t="shared" ref="J10:J47" si="3">IF(I10="e",H10," ")</f>
        <v xml:space="preserve"> </v>
      </c>
      <c r="K10" s="278" t="str">
        <f t="shared" si="0"/>
        <v xml:space="preserve"> </v>
      </c>
      <c r="L10" s="278">
        <f t="shared" si="1"/>
        <v>-763036.47</v>
      </c>
      <c r="M10" s="1378" t="str">
        <f t="shared" si="2"/>
        <v xml:space="preserve"> </v>
      </c>
      <c r="N10" s="1378" t="str">
        <f t="shared" ref="N10:N47" si="4">IF(I10="Labor",H10," ")</f>
        <v xml:space="preserve"> </v>
      </c>
    </row>
    <row r="11" spans="1:15">
      <c r="C11" s="844" t="s">
        <v>840</v>
      </c>
      <c r="D11" s="1377" t="s">
        <v>375</v>
      </c>
      <c r="E11" s="844" t="s">
        <v>1213</v>
      </c>
      <c r="F11" s="855"/>
      <c r="G11" s="868" t="s">
        <v>843</v>
      </c>
      <c r="H11" s="1495">
        <v>48938.61</v>
      </c>
      <c r="I11" s="846" t="s">
        <v>184</v>
      </c>
      <c r="J11" s="1378" t="str">
        <f t="shared" si="3"/>
        <v xml:space="preserve"> </v>
      </c>
      <c r="K11" s="278" t="str">
        <f t="shared" si="0"/>
        <v xml:space="preserve"> </v>
      </c>
      <c r="L11" s="278">
        <f t="shared" si="1"/>
        <v>48938.61</v>
      </c>
      <c r="M11" s="1378" t="str">
        <f t="shared" si="2"/>
        <v xml:space="preserve"> </v>
      </c>
      <c r="N11" s="1378" t="str">
        <f t="shared" si="4"/>
        <v xml:space="preserve"> </v>
      </c>
    </row>
    <row r="12" spans="1:15">
      <c r="C12" s="844" t="s">
        <v>840</v>
      </c>
      <c r="D12" s="1377"/>
      <c r="E12" s="844" t="s">
        <v>1214</v>
      </c>
      <c r="F12" s="855"/>
      <c r="G12" s="868" t="s">
        <v>844</v>
      </c>
      <c r="H12" s="1495">
        <v>-8479963.3800000008</v>
      </c>
      <c r="I12" s="846" t="s">
        <v>184</v>
      </c>
      <c r="J12" s="1378" t="str">
        <f t="shared" si="3"/>
        <v xml:space="preserve"> </v>
      </c>
      <c r="K12" s="278" t="str">
        <f t="shared" si="0"/>
        <v xml:space="preserve"> </v>
      </c>
      <c r="L12" s="278">
        <f t="shared" si="1"/>
        <v>-8479963.3800000008</v>
      </c>
      <c r="M12" s="1378" t="str">
        <f t="shared" si="2"/>
        <v xml:space="preserve"> </v>
      </c>
      <c r="N12" s="1378" t="str">
        <f t="shared" si="4"/>
        <v xml:space="preserve"> </v>
      </c>
    </row>
    <row r="13" spans="1:15">
      <c r="C13" s="844" t="s">
        <v>840</v>
      </c>
      <c r="D13" s="1377"/>
      <c r="E13" s="844" t="s">
        <v>1215</v>
      </c>
      <c r="F13" s="855"/>
      <c r="G13" s="868" t="s">
        <v>845</v>
      </c>
      <c r="H13" s="1495">
        <v>-2775164.28</v>
      </c>
      <c r="I13" s="846" t="s">
        <v>184</v>
      </c>
      <c r="J13" s="1378" t="str">
        <f t="shared" si="3"/>
        <v xml:space="preserve"> </v>
      </c>
      <c r="K13" s="278" t="str">
        <f t="shared" si="0"/>
        <v xml:space="preserve"> </v>
      </c>
      <c r="L13" s="278">
        <f t="shared" si="1"/>
        <v>-2775164.28</v>
      </c>
      <c r="M13" s="1378" t="str">
        <f t="shared" si="2"/>
        <v xml:space="preserve"> </v>
      </c>
      <c r="N13" s="1378" t="str">
        <f t="shared" si="4"/>
        <v xml:space="preserve"> </v>
      </c>
    </row>
    <row r="14" spans="1:15">
      <c r="C14" s="844" t="s">
        <v>840</v>
      </c>
      <c r="D14" s="1377"/>
      <c r="E14" s="844" t="s">
        <v>1216</v>
      </c>
      <c r="F14" s="855"/>
      <c r="G14" s="868" t="s">
        <v>846</v>
      </c>
      <c r="H14" s="1495">
        <v>1679950.2</v>
      </c>
      <c r="I14" s="846" t="s">
        <v>184</v>
      </c>
      <c r="J14" s="1378" t="str">
        <f t="shared" si="3"/>
        <v xml:space="preserve"> </v>
      </c>
      <c r="K14" s="278" t="str">
        <f t="shared" si="0"/>
        <v xml:space="preserve"> </v>
      </c>
      <c r="L14" s="278">
        <f t="shared" si="1"/>
        <v>1679950.2</v>
      </c>
      <c r="M14" s="1378" t="str">
        <f t="shared" si="2"/>
        <v xml:space="preserve"> </v>
      </c>
      <c r="N14" s="1378" t="str">
        <f t="shared" si="4"/>
        <v xml:space="preserve"> </v>
      </c>
    </row>
    <row r="15" spans="1:15">
      <c r="C15" s="844" t="s">
        <v>840</v>
      </c>
      <c r="D15" s="1377"/>
      <c r="E15" s="844" t="s">
        <v>1217</v>
      </c>
      <c r="F15" s="855"/>
      <c r="G15" s="868" t="s">
        <v>847</v>
      </c>
      <c r="H15" s="1495">
        <v>-18481099.370000001</v>
      </c>
      <c r="I15" s="846" t="s">
        <v>328</v>
      </c>
      <c r="J15" s="1378">
        <f t="shared" si="3"/>
        <v>-18481099.370000001</v>
      </c>
      <c r="K15" s="278" t="str">
        <f t="shared" si="0"/>
        <v xml:space="preserve"> </v>
      </c>
      <c r="L15" s="278" t="str">
        <f t="shared" si="1"/>
        <v xml:space="preserve"> </v>
      </c>
      <c r="M15" s="1378" t="str">
        <f t="shared" si="2"/>
        <v xml:space="preserve"> </v>
      </c>
      <c r="N15" s="1378" t="str">
        <f t="shared" si="4"/>
        <v xml:space="preserve"> </v>
      </c>
    </row>
    <row r="16" spans="1:15">
      <c r="C16" s="844" t="s">
        <v>840</v>
      </c>
      <c r="D16" s="1377"/>
      <c r="E16" s="844" t="s">
        <v>1218</v>
      </c>
      <c r="F16" s="855"/>
      <c r="G16" s="868" t="s">
        <v>848</v>
      </c>
      <c r="H16" s="1495">
        <v>-23119969.850000001</v>
      </c>
      <c r="I16" s="846" t="s">
        <v>184</v>
      </c>
      <c r="J16" s="1378" t="str">
        <f t="shared" si="3"/>
        <v xml:space="preserve"> </v>
      </c>
      <c r="K16" s="278" t="str">
        <f t="shared" si="0"/>
        <v xml:space="preserve"> </v>
      </c>
      <c r="L16" s="278">
        <f t="shared" si="1"/>
        <v>-23119969.850000001</v>
      </c>
      <c r="M16" s="1378" t="str">
        <f t="shared" si="2"/>
        <v xml:space="preserve"> </v>
      </c>
      <c r="N16" s="1378" t="str">
        <f t="shared" si="4"/>
        <v xml:space="preserve"> </v>
      </c>
    </row>
    <row r="17" spans="3:14">
      <c r="C17" s="844" t="s">
        <v>840</v>
      </c>
      <c r="D17" s="1377" t="s">
        <v>375</v>
      </c>
      <c r="E17" s="844" t="s">
        <v>1219</v>
      </c>
      <c r="F17" s="855"/>
      <c r="G17" s="868" t="s">
        <v>849</v>
      </c>
      <c r="H17" s="1495">
        <v>1058846.83</v>
      </c>
      <c r="I17" s="846" t="s">
        <v>184</v>
      </c>
      <c r="J17" s="1378" t="str">
        <f t="shared" si="3"/>
        <v xml:space="preserve"> </v>
      </c>
      <c r="K17" s="278" t="str">
        <f t="shared" si="0"/>
        <v xml:space="preserve"> </v>
      </c>
      <c r="L17" s="278">
        <f t="shared" si="1"/>
        <v>1058846.83</v>
      </c>
      <c r="M17" s="1378" t="str">
        <f t="shared" si="2"/>
        <v xml:space="preserve"> </v>
      </c>
      <c r="N17" s="1378" t="str">
        <f t="shared" si="4"/>
        <v xml:space="preserve"> </v>
      </c>
    </row>
    <row r="18" spans="3:14">
      <c r="C18" s="844" t="s">
        <v>840</v>
      </c>
      <c r="D18" s="1377" t="s">
        <v>375</v>
      </c>
      <c r="E18" s="844" t="s">
        <v>1220</v>
      </c>
      <c r="F18" s="855"/>
      <c r="G18" s="868" t="s">
        <v>850</v>
      </c>
      <c r="H18" s="1495">
        <v>-1612881.27</v>
      </c>
      <c r="I18" s="846" t="s">
        <v>328</v>
      </c>
      <c r="J18" s="1378">
        <f t="shared" si="3"/>
        <v>-1612881.27</v>
      </c>
      <c r="K18" s="278" t="str">
        <f t="shared" si="0"/>
        <v xml:space="preserve"> </v>
      </c>
      <c r="L18" s="278" t="str">
        <f t="shared" si="1"/>
        <v xml:space="preserve"> </v>
      </c>
      <c r="M18" s="1378" t="str">
        <f t="shared" si="2"/>
        <v xml:space="preserve"> </v>
      </c>
      <c r="N18" s="1378" t="str">
        <f t="shared" si="4"/>
        <v xml:space="preserve"> </v>
      </c>
    </row>
    <row r="19" spans="3:14">
      <c r="C19" s="844" t="s">
        <v>840</v>
      </c>
      <c r="D19" s="1377" t="s">
        <v>375</v>
      </c>
      <c r="E19" s="844" t="s">
        <v>1221</v>
      </c>
      <c r="F19" s="855"/>
      <c r="G19" s="868" t="s">
        <v>851</v>
      </c>
      <c r="H19" s="1495">
        <v>-48363448.420000002</v>
      </c>
      <c r="I19" s="846" t="s">
        <v>184</v>
      </c>
      <c r="J19" s="1378" t="str">
        <f t="shared" si="3"/>
        <v xml:space="preserve"> </v>
      </c>
      <c r="K19" s="278" t="str">
        <f t="shared" si="0"/>
        <v xml:space="preserve"> </v>
      </c>
      <c r="L19" s="278">
        <f t="shared" si="1"/>
        <v>-48363448.420000002</v>
      </c>
      <c r="M19" s="1378" t="str">
        <f t="shared" si="2"/>
        <v xml:space="preserve"> </v>
      </c>
      <c r="N19" s="1378" t="str">
        <f t="shared" si="4"/>
        <v xml:space="preserve"> </v>
      </c>
    </row>
    <row r="20" spans="3:14">
      <c r="C20" s="844" t="s">
        <v>840</v>
      </c>
      <c r="D20" s="1377" t="s">
        <v>375</v>
      </c>
      <c r="E20" s="844" t="s">
        <v>1222</v>
      </c>
      <c r="F20" s="855"/>
      <c r="G20" s="868" t="s">
        <v>852</v>
      </c>
      <c r="H20" s="1495">
        <v>76462067.189999998</v>
      </c>
      <c r="I20" s="846" t="s">
        <v>184</v>
      </c>
      <c r="J20" s="1378" t="str">
        <f t="shared" si="3"/>
        <v xml:space="preserve"> </v>
      </c>
      <c r="K20" s="278" t="str">
        <f t="shared" si="0"/>
        <v xml:space="preserve"> </v>
      </c>
      <c r="L20" s="278">
        <f t="shared" si="1"/>
        <v>76462067.189999998</v>
      </c>
      <c r="M20" s="1378" t="str">
        <f t="shared" si="2"/>
        <v xml:space="preserve"> </v>
      </c>
      <c r="N20" s="1378" t="str">
        <f t="shared" si="4"/>
        <v xml:space="preserve"> </v>
      </c>
    </row>
    <row r="21" spans="3:14">
      <c r="C21" s="844" t="s">
        <v>840</v>
      </c>
      <c r="D21" s="1377" t="s">
        <v>375</v>
      </c>
      <c r="E21" s="844" t="s">
        <v>1223</v>
      </c>
      <c r="F21" s="855"/>
      <c r="G21" s="868" t="s">
        <v>853</v>
      </c>
      <c r="H21" s="1495">
        <v>9707886.25</v>
      </c>
      <c r="I21" s="846" t="s">
        <v>328</v>
      </c>
      <c r="J21" s="1378">
        <f t="shared" si="3"/>
        <v>9707886.25</v>
      </c>
      <c r="K21" s="278" t="str">
        <f t="shared" si="0"/>
        <v xml:space="preserve"> </v>
      </c>
      <c r="L21" s="278" t="str">
        <f t="shared" si="1"/>
        <v xml:space="preserve"> </v>
      </c>
      <c r="M21" s="1378" t="str">
        <f t="shared" si="2"/>
        <v xml:space="preserve"> </v>
      </c>
      <c r="N21" s="1378" t="str">
        <f t="shared" si="4"/>
        <v xml:space="preserve"> </v>
      </c>
    </row>
    <row r="22" spans="3:14">
      <c r="C22" s="844" t="s">
        <v>840</v>
      </c>
      <c r="D22" s="1377" t="s">
        <v>375</v>
      </c>
      <c r="E22" s="844" t="s">
        <v>1224</v>
      </c>
      <c r="F22" s="855"/>
      <c r="G22" s="868" t="s">
        <v>854</v>
      </c>
      <c r="H22" s="1495">
        <v>-235401.60000000001</v>
      </c>
      <c r="I22" s="846" t="s">
        <v>184</v>
      </c>
      <c r="J22" s="1378" t="str">
        <f t="shared" si="3"/>
        <v xml:space="preserve"> </v>
      </c>
      <c r="K22" s="278" t="str">
        <f t="shared" si="0"/>
        <v xml:space="preserve"> </v>
      </c>
      <c r="L22" s="278">
        <f t="shared" si="1"/>
        <v>-235401.60000000001</v>
      </c>
      <c r="M22" s="1378" t="str">
        <f t="shared" si="2"/>
        <v xml:space="preserve"> </v>
      </c>
      <c r="N22" s="1378" t="str">
        <f t="shared" si="4"/>
        <v xml:space="preserve"> </v>
      </c>
    </row>
    <row r="23" spans="3:14">
      <c r="C23" s="844" t="s">
        <v>840</v>
      </c>
      <c r="D23" s="1377" t="s">
        <v>375</v>
      </c>
      <c r="E23" s="844" t="s">
        <v>1225</v>
      </c>
      <c r="F23" s="855"/>
      <c r="G23" s="868" t="s">
        <v>855</v>
      </c>
      <c r="H23" s="1495">
        <v>-9076043.8200000003</v>
      </c>
      <c r="I23" s="846" t="s">
        <v>184</v>
      </c>
      <c r="J23" s="1378" t="str">
        <f t="shared" si="3"/>
        <v xml:space="preserve"> </v>
      </c>
      <c r="K23" s="278" t="str">
        <f t="shared" si="0"/>
        <v xml:space="preserve"> </v>
      </c>
      <c r="L23" s="278">
        <f t="shared" si="1"/>
        <v>-9076043.8200000003</v>
      </c>
      <c r="M23" s="1378" t="str">
        <f t="shared" si="2"/>
        <v xml:space="preserve"> </v>
      </c>
      <c r="N23" s="1378" t="str">
        <f t="shared" si="4"/>
        <v xml:space="preserve"> </v>
      </c>
    </row>
    <row r="24" spans="3:14">
      <c r="C24" s="844" t="s">
        <v>840</v>
      </c>
      <c r="D24" s="1377" t="s">
        <v>375</v>
      </c>
      <c r="E24" s="844" t="s">
        <v>1226</v>
      </c>
      <c r="F24" s="855"/>
      <c r="G24" s="868" t="s">
        <v>856</v>
      </c>
      <c r="H24" s="1495">
        <v>-53477827.409999996</v>
      </c>
      <c r="I24" s="846" t="s">
        <v>184</v>
      </c>
      <c r="J24" s="1378" t="str">
        <f t="shared" si="3"/>
        <v xml:space="preserve"> </v>
      </c>
      <c r="K24" s="278" t="str">
        <f t="shared" si="0"/>
        <v xml:space="preserve"> </v>
      </c>
      <c r="L24" s="278">
        <f t="shared" si="1"/>
        <v>-53477827.409999996</v>
      </c>
      <c r="M24" s="1378" t="str">
        <f t="shared" si="2"/>
        <v xml:space="preserve"> </v>
      </c>
      <c r="N24" s="1378" t="str">
        <f t="shared" si="4"/>
        <v xml:space="preserve"> </v>
      </c>
    </row>
    <row r="25" spans="3:14">
      <c r="C25" s="844" t="s">
        <v>840</v>
      </c>
      <c r="D25" s="1377" t="s">
        <v>375</v>
      </c>
      <c r="E25" s="844" t="s">
        <v>1227</v>
      </c>
      <c r="F25" s="855"/>
      <c r="G25" s="868" t="s">
        <v>857</v>
      </c>
      <c r="H25" s="1495">
        <v>-21056811.93</v>
      </c>
      <c r="I25" s="846" t="s">
        <v>184</v>
      </c>
      <c r="J25" s="1378" t="str">
        <f t="shared" si="3"/>
        <v xml:space="preserve"> </v>
      </c>
      <c r="K25" s="278" t="str">
        <f t="shared" si="0"/>
        <v xml:space="preserve"> </v>
      </c>
      <c r="L25" s="278">
        <f t="shared" si="1"/>
        <v>-21056811.93</v>
      </c>
      <c r="M25" s="1378" t="str">
        <f t="shared" si="2"/>
        <v xml:space="preserve"> </v>
      </c>
      <c r="N25" s="1378" t="str">
        <f t="shared" si="4"/>
        <v xml:space="preserve"> </v>
      </c>
    </row>
    <row r="26" spans="3:14">
      <c r="C26" s="844" t="s">
        <v>840</v>
      </c>
      <c r="D26" s="1377"/>
      <c r="E26" s="844" t="s">
        <v>1515</v>
      </c>
      <c r="F26" s="855"/>
      <c r="G26" s="868" t="s">
        <v>1589</v>
      </c>
      <c r="H26" s="1495">
        <v>-1545967.5</v>
      </c>
      <c r="I26" s="846" t="s">
        <v>184</v>
      </c>
      <c r="J26" s="1378" t="str">
        <f t="shared" si="3"/>
        <v xml:space="preserve"> </v>
      </c>
      <c r="K26" s="278" t="str">
        <f t="shared" si="0"/>
        <v xml:space="preserve"> </v>
      </c>
      <c r="L26" s="278">
        <f t="shared" si="1"/>
        <v>-1545967.5</v>
      </c>
      <c r="M26" s="1378" t="str">
        <f t="shared" si="2"/>
        <v xml:space="preserve"> </v>
      </c>
      <c r="N26" s="1378" t="str">
        <f t="shared" si="4"/>
        <v xml:space="preserve"> </v>
      </c>
    </row>
    <row r="27" spans="3:14">
      <c r="C27" s="844" t="s">
        <v>840</v>
      </c>
      <c r="D27" s="1377" t="s">
        <v>375</v>
      </c>
      <c r="E27" s="844" t="s">
        <v>1228</v>
      </c>
      <c r="F27" s="855"/>
      <c r="G27" s="868" t="s">
        <v>858</v>
      </c>
      <c r="H27" s="1495">
        <v>-7922917.7999999998</v>
      </c>
      <c r="I27" s="846" t="s">
        <v>184</v>
      </c>
      <c r="J27" s="1378" t="str">
        <f t="shared" si="3"/>
        <v xml:space="preserve"> </v>
      </c>
      <c r="K27" s="278" t="str">
        <f t="shared" si="0"/>
        <v xml:space="preserve"> </v>
      </c>
      <c r="L27" s="278">
        <f t="shared" si="1"/>
        <v>-7922917.7999999998</v>
      </c>
      <c r="M27" s="1378" t="str">
        <f t="shared" si="2"/>
        <v xml:space="preserve"> </v>
      </c>
      <c r="N27" s="1378" t="str">
        <f t="shared" si="4"/>
        <v xml:space="preserve"> </v>
      </c>
    </row>
    <row r="28" spans="3:14">
      <c r="C28" s="844" t="s">
        <v>840</v>
      </c>
      <c r="D28" s="1377" t="s">
        <v>375</v>
      </c>
      <c r="E28" s="844" t="s">
        <v>1229</v>
      </c>
      <c r="F28" s="855"/>
      <c r="G28" s="868" t="s">
        <v>860</v>
      </c>
      <c r="H28" s="1495">
        <v>-6708347.4000000004</v>
      </c>
      <c r="I28" s="846" t="s">
        <v>184</v>
      </c>
      <c r="J28" s="1378" t="str">
        <f t="shared" si="3"/>
        <v xml:space="preserve"> </v>
      </c>
      <c r="K28" s="278" t="str">
        <f t="shared" si="0"/>
        <v xml:space="preserve"> </v>
      </c>
      <c r="L28" s="278">
        <f t="shared" si="1"/>
        <v>-6708347.4000000004</v>
      </c>
      <c r="M28" s="1378" t="str">
        <f t="shared" si="2"/>
        <v xml:space="preserve"> </v>
      </c>
      <c r="N28" s="1378" t="str">
        <f t="shared" si="4"/>
        <v xml:space="preserve"> </v>
      </c>
    </row>
    <row r="29" spans="3:14">
      <c r="C29" s="844" t="s">
        <v>840</v>
      </c>
      <c r="D29" s="1377" t="s">
        <v>375</v>
      </c>
      <c r="E29" s="844" t="s">
        <v>1230</v>
      </c>
      <c r="F29" s="855"/>
      <c r="G29" s="868" t="s">
        <v>861</v>
      </c>
      <c r="H29" s="1495">
        <v>-1726995</v>
      </c>
      <c r="I29" s="846" t="s">
        <v>184</v>
      </c>
      <c r="J29" s="1378" t="str">
        <f t="shared" si="3"/>
        <v xml:space="preserve"> </v>
      </c>
      <c r="K29" s="278" t="str">
        <f t="shared" si="0"/>
        <v xml:space="preserve"> </v>
      </c>
      <c r="L29" s="278">
        <f t="shared" si="1"/>
        <v>-1726995</v>
      </c>
      <c r="M29" s="1378" t="str">
        <f t="shared" si="2"/>
        <v xml:space="preserve"> </v>
      </c>
      <c r="N29" s="1378" t="str">
        <f t="shared" si="4"/>
        <v xml:space="preserve"> </v>
      </c>
    </row>
    <row r="30" spans="3:14">
      <c r="C30" s="844" t="s">
        <v>840</v>
      </c>
      <c r="D30" s="1377" t="s">
        <v>375</v>
      </c>
      <c r="E30" s="844" t="s">
        <v>1231</v>
      </c>
      <c r="F30" s="855"/>
      <c r="G30" s="868" t="s">
        <v>862</v>
      </c>
      <c r="H30" s="1495">
        <v>-13719.6</v>
      </c>
      <c r="I30" s="846" t="s">
        <v>328</v>
      </c>
      <c r="J30" s="1378">
        <f t="shared" si="3"/>
        <v>-13719.6</v>
      </c>
      <c r="K30" s="278" t="str">
        <f t="shared" si="0"/>
        <v xml:space="preserve"> </v>
      </c>
      <c r="L30" s="278" t="str">
        <f t="shared" si="1"/>
        <v xml:space="preserve"> </v>
      </c>
      <c r="M30" s="1378" t="str">
        <f t="shared" si="2"/>
        <v xml:space="preserve"> </v>
      </c>
      <c r="N30" s="1378" t="str">
        <f t="shared" si="4"/>
        <v xml:space="preserve"> </v>
      </c>
    </row>
    <row r="31" spans="3:14">
      <c r="C31" s="844" t="s">
        <v>840</v>
      </c>
      <c r="D31" s="1377" t="s">
        <v>375</v>
      </c>
      <c r="E31" s="844" t="s">
        <v>1232</v>
      </c>
      <c r="F31" s="855"/>
      <c r="G31" s="868" t="s">
        <v>863</v>
      </c>
      <c r="H31" s="1495">
        <v>3730948.84</v>
      </c>
      <c r="I31" s="846" t="s">
        <v>328</v>
      </c>
      <c r="J31" s="1378">
        <f t="shared" si="3"/>
        <v>3730948.84</v>
      </c>
      <c r="K31" s="278" t="str">
        <f t="shared" si="0"/>
        <v xml:space="preserve"> </v>
      </c>
      <c r="L31" s="278" t="str">
        <f t="shared" si="1"/>
        <v xml:space="preserve"> </v>
      </c>
      <c r="M31" s="1378" t="str">
        <f t="shared" si="2"/>
        <v xml:space="preserve"> </v>
      </c>
      <c r="N31" s="1378" t="str">
        <f t="shared" si="4"/>
        <v xml:space="preserve"> </v>
      </c>
    </row>
    <row r="32" spans="3:14">
      <c r="C32" s="844" t="s">
        <v>840</v>
      </c>
      <c r="D32" s="1377" t="s">
        <v>375</v>
      </c>
      <c r="E32" s="844" t="s">
        <v>1233</v>
      </c>
      <c r="F32" s="855"/>
      <c r="G32" s="868" t="s">
        <v>864</v>
      </c>
      <c r="H32" s="1495">
        <v>4889.6400000000003</v>
      </c>
      <c r="I32" s="846" t="s">
        <v>337</v>
      </c>
      <c r="J32" s="1378" t="str">
        <f t="shared" si="3"/>
        <v xml:space="preserve"> </v>
      </c>
      <c r="K32" s="278" t="str">
        <f t="shared" si="0"/>
        <v xml:space="preserve"> </v>
      </c>
      <c r="L32" s="278" t="str">
        <f t="shared" si="1"/>
        <v xml:space="preserve"> </v>
      </c>
      <c r="M32" s="1378" t="str">
        <f t="shared" si="2"/>
        <v xml:space="preserve"> </v>
      </c>
      <c r="N32" s="1378">
        <f t="shared" si="4"/>
        <v>4889.6400000000003</v>
      </c>
    </row>
    <row r="33" spans="3:14">
      <c r="C33" s="844" t="s">
        <v>840</v>
      </c>
      <c r="D33" s="1377" t="s">
        <v>375</v>
      </c>
      <c r="E33" s="844" t="s">
        <v>1234</v>
      </c>
      <c r="F33" s="855"/>
      <c r="G33" s="868" t="s">
        <v>865</v>
      </c>
      <c r="H33" s="1495">
        <v>208389.72</v>
      </c>
      <c r="I33" s="846" t="s">
        <v>184</v>
      </c>
      <c r="J33" s="1378" t="str">
        <f t="shared" si="3"/>
        <v xml:space="preserve"> </v>
      </c>
      <c r="K33" s="278" t="str">
        <f t="shared" si="0"/>
        <v xml:space="preserve"> </v>
      </c>
      <c r="L33" s="278">
        <f t="shared" si="1"/>
        <v>208389.72</v>
      </c>
      <c r="M33" s="1378" t="str">
        <f t="shared" si="2"/>
        <v xml:space="preserve"> </v>
      </c>
      <c r="N33" s="1378" t="str">
        <f t="shared" si="4"/>
        <v xml:space="preserve"> </v>
      </c>
    </row>
    <row r="34" spans="3:14">
      <c r="C34" s="844" t="s">
        <v>840</v>
      </c>
      <c r="D34" s="1377" t="s">
        <v>375</v>
      </c>
      <c r="E34" s="844" t="s">
        <v>1235</v>
      </c>
      <c r="F34" s="855"/>
      <c r="G34" s="868" t="s">
        <v>866</v>
      </c>
      <c r="H34" s="1495">
        <v>-8361782.4500000002</v>
      </c>
      <c r="I34" s="846" t="s">
        <v>337</v>
      </c>
      <c r="J34" s="1378" t="str">
        <f t="shared" si="3"/>
        <v xml:space="preserve"> </v>
      </c>
      <c r="K34" s="278" t="str">
        <f t="shared" si="0"/>
        <v xml:space="preserve"> </v>
      </c>
      <c r="L34" s="278" t="str">
        <f t="shared" si="1"/>
        <v xml:space="preserve"> </v>
      </c>
      <c r="M34" s="1378" t="str">
        <f t="shared" si="2"/>
        <v xml:space="preserve"> </v>
      </c>
      <c r="N34" s="1378">
        <f t="shared" si="4"/>
        <v>-8361782.4500000002</v>
      </c>
    </row>
    <row r="35" spans="3:14">
      <c r="C35" s="844" t="s">
        <v>840</v>
      </c>
      <c r="D35" s="1377" t="s">
        <v>375</v>
      </c>
      <c r="E35" s="844" t="s">
        <v>1236</v>
      </c>
      <c r="F35" s="855"/>
      <c r="G35" s="868" t="s">
        <v>867</v>
      </c>
      <c r="H35" s="1495">
        <v>-8507704.8000000007</v>
      </c>
      <c r="I35" s="846" t="s">
        <v>328</v>
      </c>
      <c r="J35" s="1378">
        <f t="shared" si="3"/>
        <v>-8507704.8000000007</v>
      </c>
      <c r="K35" s="278" t="str">
        <f t="shared" si="0"/>
        <v xml:space="preserve"> </v>
      </c>
      <c r="L35" s="278" t="str">
        <f t="shared" si="1"/>
        <v xml:space="preserve"> </v>
      </c>
      <c r="M35" s="1378" t="str">
        <f t="shared" si="2"/>
        <v xml:space="preserve"> </v>
      </c>
      <c r="N35" s="1378" t="str">
        <f t="shared" si="4"/>
        <v xml:space="preserve"> </v>
      </c>
    </row>
    <row r="36" spans="3:14">
      <c r="C36" s="844" t="s">
        <v>840</v>
      </c>
      <c r="D36" s="1377" t="s">
        <v>375</v>
      </c>
      <c r="E36" s="844" t="s">
        <v>1237</v>
      </c>
      <c r="F36" s="855"/>
      <c r="G36" s="868" t="s">
        <v>868</v>
      </c>
      <c r="H36" s="1495">
        <v>-45634504.469999999</v>
      </c>
      <c r="I36" s="846" t="s">
        <v>184</v>
      </c>
      <c r="J36" s="1378" t="str">
        <f t="shared" si="3"/>
        <v xml:space="preserve"> </v>
      </c>
      <c r="K36" s="278" t="str">
        <f t="shared" si="0"/>
        <v xml:space="preserve"> </v>
      </c>
      <c r="L36" s="278">
        <f t="shared" si="1"/>
        <v>-45634504.469999999</v>
      </c>
      <c r="M36" s="1378" t="str">
        <f t="shared" si="2"/>
        <v xml:space="preserve"> </v>
      </c>
      <c r="N36" s="1378" t="str">
        <f t="shared" si="4"/>
        <v xml:space="preserve"> </v>
      </c>
    </row>
    <row r="37" spans="3:14">
      <c r="C37" s="844" t="s">
        <v>840</v>
      </c>
      <c r="D37" s="1377" t="s">
        <v>375</v>
      </c>
      <c r="E37" s="844" t="s">
        <v>1238</v>
      </c>
      <c r="F37" s="855"/>
      <c r="G37" s="868" t="s">
        <v>869</v>
      </c>
      <c r="H37" s="1495">
        <v>-6338.46</v>
      </c>
      <c r="I37" s="846" t="s">
        <v>328</v>
      </c>
      <c r="J37" s="1378">
        <f t="shared" si="3"/>
        <v>-6338.46</v>
      </c>
      <c r="K37" s="278" t="str">
        <f t="shared" si="0"/>
        <v xml:space="preserve"> </v>
      </c>
      <c r="L37" s="278" t="str">
        <f t="shared" si="1"/>
        <v xml:space="preserve"> </v>
      </c>
      <c r="M37" s="1378" t="str">
        <f t="shared" si="2"/>
        <v xml:space="preserve"> </v>
      </c>
      <c r="N37" s="1378" t="str">
        <f t="shared" si="4"/>
        <v xml:space="preserve"> </v>
      </c>
    </row>
    <row r="38" spans="3:14">
      <c r="C38" s="844" t="s">
        <v>840</v>
      </c>
      <c r="D38" s="1377"/>
      <c r="E38" s="844" t="s">
        <v>1239</v>
      </c>
      <c r="F38" s="855"/>
      <c r="G38" s="868" t="s">
        <v>1590</v>
      </c>
      <c r="H38" s="1495">
        <v>0</v>
      </c>
      <c r="I38" s="846" t="s">
        <v>184</v>
      </c>
      <c r="J38" s="1378" t="str">
        <f t="shared" si="3"/>
        <v xml:space="preserve"> </v>
      </c>
      <c r="K38" s="278" t="str">
        <f t="shared" si="0"/>
        <v xml:space="preserve"> </v>
      </c>
      <c r="L38" s="278">
        <f t="shared" si="1"/>
        <v>0</v>
      </c>
      <c r="M38" s="1378" t="str">
        <f t="shared" si="2"/>
        <v xml:space="preserve"> </v>
      </c>
      <c r="N38" s="1378" t="str">
        <f t="shared" si="4"/>
        <v xml:space="preserve"> </v>
      </c>
    </row>
    <row r="39" spans="3:14">
      <c r="C39" s="844" t="s">
        <v>840</v>
      </c>
      <c r="D39" s="1377"/>
      <c r="E39" s="844" t="s">
        <v>1239</v>
      </c>
      <c r="F39" s="855"/>
      <c r="G39" s="868" t="s">
        <v>1591</v>
      </c>
      <c r="H39" s="1495">
        <v>-83543531</v>
      </c>
      <c r="I39" s="846" t="s">
        <v>184</v>
      </c>
      <c r="J39" s="1378" t="str">
        <f t="shared" si="3"/>
        <v xml:space="preserve"> </v>
      </c>
      <c r="K39" s="278" t="str">
        <f t="shared" si="0"/>
        <v xml:space="preserve"> </v>
      </c>
      <c r="L39" s="278">
        <f t="shared" si="1"/>
        <v>-83543531</v>
      </c>
      <c r="M39" s="1378" t="str">
        <f t="shared" si="2"/>
        <v xml:space="preserve"> </v>
      </c>
      <c r="N39" s="1378" t="str">
        <f t="shared" si="4"/>
        <v xml:space="preserve"> </v>
      </c>
    </row>
    <row r="40" spans="3:14">
      <c r="C40" s="844" t="s">
        <v>840</v>
      </c>
      <c r="D40" s="1377"/>
      <c r="E40" s="844" t="s">
        <v>1239</v>
      </c>
      <c r="F40" s="855"/>
      <c r="G40" s="868" t="s">
        <v>1592</v>
      </c>
      <c r="H40" s="1495">
        <v>-23513396</v>
      </c>
      <c r="I40" s="846" t="s">
        <v>184</v>
      </c>
      <c r="J40" s="1378" t="str">
        <f t="shared" si="3"/>
        <v xml:space="preserve"> </v>
      </c>
      <c r="K40" s="278" t="str">
        <f t="shared" si="0"/>
        <v xml:space="preserve"> </v>
      </c>
      <c r="L40" s="278">
        <f t="shared" si="1"/>
        <v>-23513396</v>
      </c>
      <c r="M40" s="1378" t="str">
        <f t="shared" si="2"/>
        <v xml:space="preserve"> </v>
      </c>
      <c r="N40" s="1378" t="str">
        <f t="shared" si="4"/>
        <v xml:space="preserve"> </v>
      </c>
    </row>
    <row r="41" spans="3:14">
      <c r="C41" s="844" t="s">
        <v>840</v>
      </c>
      <c r="D41" s="1377"/>
      <c r="E41" s="844" t="s">
        <v>1239</v>
      </c>
      <c r="F41" s="855"/>
      <c r="G41" s="868" t="s">
        <v>1593</v>
      </c>
      <c r="H41" s="1495">
        <v>-168377491</v>
      </c>
      <c r="I41" s="846" t="s">
        <v>184</v>
      </c>
      <c r="J41" s="1378" t="str">
        <f t="shared" si="3"/>
        <v xml:space="preserve"> </v>
      </c>
      <c r="K41" s="278" t="str">
        <f t="shared" si="0"/>
        <v xml:space="preserve"> </v>
      </c>
      <c r="L41" s="278">
        <f t="shared" si="1"/>
        <v>-168377491</v>
      </c>
      <c r="M41" s="1378" t="str">
        <f t="shared" si="2"/>
        <v xml:space="preserve"> </v>
      </c>
      <c r="N41" s="1378" t="str">
        <f t="shared" si="4"/>
        <v xml:space="preserve"> </v>
      </c>
    </row>
    <row r="42" spans="3:14">
      <c r="C42" s="844" t="s">
        <v>840</v>
      </c>
      <c r="D42" s="1377"/>
      <c r="E42" s="844" t="s">
        <v>1239</v>
      </c>
      <c r="F42" s="855"/>
      <c r="G42" s="868" t="s">
        <v>1594</v>
      </c>
      <c r="H42" s="1495">
        <v>-203658927</v>
      </c>
      <c r="I42" s="846" t="s">
        <v>184</v>
      </c>
      <c r="J42" s="1378" t="str">
        <f t="shared" si="3"/>
        <v xml:space="preserve"> </v>
      </c>
      <c r="K42" s="278" t="str">
        <f t="shared" si="0"/>
        <v xml:space="preserve"> </v>
      </c>
      <c r="L42" s="278">
        <f t="shared" si="1"/>
        <v>-203658927</v>
      </c>
      <c r="M42" s="1378" t="str">
        <f t="shared" si="2"/>
        <v xml:space="preserve"> </v>
      </c>
      <c r="N42" s="1378" t="str">
        <f t="shared" si="4"/>
        <v xml:space="preserve"> </v>
      </c>
    </row>
    <row r="43" spans="3:14">
      <c r="C43" s="844" t="s">
        <v>840</v>
      </c>
      <c r="D43" s="1377"/>
      <c r="E43" s="844" t="s">
        <v>1239</v>
      </c>
      <c r="F43" s="855"/>
      <c r="G43" s="868" t="s">
        <v>1595</v>
      </c>
      <c r="H43" s="1495">
        <v>-12330754</v>
      </c>
      <c r="I43" s="846" t="s">
        <v>184</v>
      </c>
      <c r="J43" s="1378" t="str">
        <f t="shared" si="3"/>
        <v xml:space="preserve"> </v>
      </c>
      <c r="K43" s="278" t="str">
        <f t="shared" si="0"/>
        <v xml:space="preserve"> </v>
      </c>
      <c r="L43" s="278">
        <f t="shared" si="1"/>
        <v>-12330754</v>
      </c>
      <c r="M43" s="1378" t="str">
        <f t="shared" si="2"/>
        <v xml:space="preserve"> </v>
      </c>
      <c r="N43" s="1378" t="str">
        <f t="shared" si="4"/>
        <v xml:space="preserve"> </v>
      </c>
    </row>
    <row r="44" spans="3:14">
      <c r="C44" s="844" t="s">
        <v>840</v>
      </c>
      <c r="D44" s="1377"/>
      <c r="E44" s="844" t="s">
        <v>1239</v>
      </c>
      <c r="F44" s="855"/>
      <c r="G44" s="868" t="s">
        <v>1596</v>
      </c>
      <c r="H44" s="1495">
        <v>-2031014</v>
      </c>
      <c r="I44" s="846" t="s">
        <v>184</v>
      </c>
      <c r="J44" s="1378" t="str">
        <f t="shared" si="3"/>
        <v xml:space="preserve"> </v>
      </c>
      <c r="K44" s="278" t="str">
        <f t="shared" si="0"/>
        <v xml:space="preserve"> </v>
      </c>
      <c r="L44" s="278">
        <f t="shared" si="1"/>
        <v>-2031014</v>
      </c>
      <c r="M44" s="1378" t="str">
        <f t="shared" si="2"/>
        <v xml:space="preserve"> </v>
      </c>
      <c r="N44" s="1378" t="str">
        <f t="shared" si="4"/>
        <v xml:space="preserve"> </v>
      </c>
    </row>
    <row r="45" spans="3:14">
      <c r="C45" s="844" t="s">
        <v>840</v>
      </c>
      <c r="D45" s="1377"/>
      <c r="E45" s="844" t="s">
        <v>1239</v>
      </c>
      <c r="F45" s="855"/>
      <c r="G45" s="868" t="s">
        <v>1597</v>
      </c>
      <c r="H45" s="1495">
        <v>-19475565</v>
      </c>
      <c r="I45" s="846" t="s">
        <v>184</v>
      </c>
      <c r="J45" s="1378" t="str">
        <f t="shared" si="3"/>
        <v xml:space="preserve"> </v>
      </c>
      <c r="K45" s="278" t="str">
        <f t="shared" si="0"/>
        <v xml:space="preserve"> </v>
      </c>
      <c r="L45" s="278">
        <f t="shared" si="1"/>
        <v>-19475565</v>
      </c>
      <c r="M45" s="1378" t="str">
        <f t="shared" si="2"/>
        <v xml:space="preserve"> </v>
      </c>
      <c r="N45" s="1378" t="str">
        <f t="shared" si="4"/>
        <v xml:space="preserve"> </v>
      </c>
    </row>
    <row r="46" spans="3:14">
      <c r="C46" s="844" t="s">
        <v>840</v>
      </c>
      <c r="D46" s="1377"/>
      <c r="E46" s="844" t="s">
        <v>1239</v>
      </c>
      <c r="F46" s="855"/>
      <c r="G46" s="868" t="s">
        <v>1598</v>
      </c>
      <c r="H46" s="1495">
        <v>-23629702</v>
      </c>
      <c r="I46" s="846" t="s">
        <v>184</v>
      </c>
      <c r="J46" s="1378" t="str">
        <f t="shared" si="3"/>
        <v xml:space="preserve"> </v>
      </c>
      <c r="K46" s="278" t="str">
        <f t="shared" si="0"/>
        <v xml:space="preserve"> </v>
      </c>
      <c r="L46" s="278">
        <f t="shared" si="1"/>
        <v>-23629702</v>
      </c>
      <c r="M46" s="1378" t="str">
        <f t="shared" si="2"/>
        <v xml:space="preserve"> </v>
      </c>
      <c r="N46" s="1378" t="str">
        <f t="shared" si="4"/>
        <v xml:space="preserve"> </v>
      </c>
    </row>
    <row r="47" spans="3:14">
      <c r="C47" s="844"/>
      <c r="D47" s="1377"/>
      <c r="E47" s="844"/>
      <c r="F47" s="855"/>
      <c r="G47" s="868"/>
      <c r="H47" s="1495"/>
      <c r="I47" s="846"/>
      <c r="J47" s="1378" t="str">
        <f t="shared" si="3"/>
        <v xml:space="preserve"> </v>
      </c>
      <c r="K47" s="278" t="str">
        <f t="shared" si="0"/>
        <v xml:space="preserve"> </v>
      </c>
      <c r="L47" s="278" t="str">
        <f t="shared" si="1"/>
        <v xml:space="preserve"> </v>
      </c>
      <c r="M47" s="1378" t="str">
        <f t="shared" si="2"/>
        <v xml:space="preserve"> </v>
      </c>
      <c r="N47" s="1378" t="str">
        <f t="shared" si="4"/>
        <v xml:space="preserve"> </v>
      </c>
    </row>
    <row r="48" spans="3:14">
      <c r="C48" s="844" t="s">
        <v>840</v>
      </c>
      <c r="D48" s="1377" t="s">
        <v>375</v>
      </c>
      <c r="E48" s="844" t="s">
        <v>1211</v>
      </c>
      <c r="F48" s="855"/>
      <c r="G48" s="868" t="s">
        <v>1466</v>
      </c>
      <c r="H48" s="1495">
        <v>-4989892.9499998093</v>
      </c>
      <c r="I48" s="846"/>
      <c r="J48" s="1495">
        <v>-55487.780814060941</v>
      </c>
      <c r="K48" s="1495">
        <v>0</v>
      </c>
      <c r="L48" s="1495">
        <v>-4892175.2914252281</v>
      </c>
      <c r="M48" s="1495">
        <v>0</v>
      </c>
      <c r="N48" s="1495">
        <v>-42229.877760421485</v>
      </c>
    </row>
    <row r="49" spans="3:15">
      <c r="C49" s="844"/>
      <c r="D49" s="1377"/>
      <c r="E49" s="844"/>
      <c r="F49" s="855"/>
      <c r="G49" s="868"/>
      <c r="H49" s="1495"/>
      <c r="I49" s="846"/>
      <c r="J49" s="1378"/>
      <c r="K49" s="278"/>
      <c r="L49" s="278"/>
      <c r="M49" s="1378"/>
      <c r="N49" s="1378"/>
    </row>
    <row r="50" spans="3:15">
      <c r="C50" s="706">
        <v>282.10000000000002</v>
      </c>
      <c r="D50" s="38"/>
      <c r="G50" s="194" t="s">
        <v>185</v>
      </c>
      <c r="H50" s="1123">
        <f>SUM(H9:H49)</f>
        <v>-1376177457.3599997</v>
      </c>
      <c r="I50" s="278"/>
      <c r="J50" s="1123">
        <f>SUM(J9:J49)</f>
        <v>-15238396.190814063</v>
      </c>
      <c r="K50" s="1123">
        <f>SUM(K9:K49)</f>
        <v>0</v>
      </c>
      <c r="L50" s="1123">
        <f>SUM(L9:L49)</f>
        <v>-1352539938.4814248</v>
      </c>
      <c r="M50" s="1123">
        <f>SUM(M9:M49)</f>
        <v>0</v>
      </c>
      <c r="N50" s="1123">
        <f>SUM(N9:N49)</f>
        <v>-8399122.687760422</v>
      </c>
      <c r="O50" s="1117"/>
    </row>
    <row r="51" spans="3:15">
      <c r="G51" s="729" t="s">
        <v>198</v>
      </c>
      <c r="H51" s="1380"/>
      <c r="I51" s="675"/>
      <c r="J51" s="278"/>
      <c r="K51" s="278"/>
      <c r="L51" s="278"/>
      <c r="M51" s="278"/>
      <c r="N51" s="278"/>
    </row>
    <row r="52" spans="3:15">
      <c r="H52" s="1122"/>
      <c r="I52" s="278"/>
      <c r="J52" s="278"/>
      <c r="K52" s="278"/>
      <c r="L52" s="278"/>
      <c r="M52" s="278"/>
      <c r="N52" s="278"/>
    </row>
    <row r="53" spans="3:15">
      <c r="H53" s="1122"/>
      <c r="I53" s="278"/>
      <c r="J53" s="278"/>
      <c r="K53" s="278"/>
      <c r="L53" s="278"/>
      <c r="M53" s="278"/>
      <c r="N53" s="278"/>
    </row>
    <row r="54" spans="3:15">
      <c r="C54" s="844" t="s">
        <v>870</v>
      </c>
      <c r="D54" s="1377" t="s">
        <v>375</v>
      </c>
      <c r="E54" s="844" t="s">
        <v>1583</v>
      </c>
      <c r="F54" s="855"/>
      <c r="G54" s="844" t="s">
        <v>1586</v>
      </c>
      <c r="H54" s="1495">
        <v>-912562.44</v>
      </c>
      <c r="I54" s="870" t="s">
        <v>328</v>
      </c>
      <c r="J54" s="1378">
        <f>IF(I54="e",H54," ")</f>
        <v>-912562.44</v>
      </c>
      <c r="K54" s="278" t="str">
        <f t="shared" ref="K54:K109" si="5">IF($I54="T",$H54," ")</f>
        <v xml:space="preserve"> </v>
      </c>
      <c r="L54" s="278" t="str">
        <f t="shared" ref="L54:L109" si="6">IF($I54="PTD",$H54," ")</f>
        <v xml:space="preserve"> </v>
      </c>
      <c r="M54" s="1378" t="str">
        <f t="shared" ref="M54:M109" si="7">IF($I54="T&amp;D",$H54," ")</f>
        <v xml:space="preserve"> </v>
      </c>
      <c r="N54" s="1378" t="str">
        <f>IF(I54="Labor",H54," ")</f>
        <v xml:space="preserve"> </v>
      </c>
    </row>
    <row r="55" spans="3:15">
      <c r="C55" s="844" t="s">
        <v>870</v>
      </c>
      <c r="D55" s="1377"/>
      <c r="E55" s="844" t="s">
        <v>1584</v>
      </c>
      <c r="F55" s="855"/>
      <c r="G55" s="844" t="s">
        <v>1587</v>
      </c>
      <c r="H55" s="1495">
        <v>-8319499.04</v>
      </c>
      <c r="I55" s="870" t="s">
        <v>328</v>
      </c>
      <c r="J55" s="1378">
        <f t="shared" ref="J55:J108" si="8">IF(I55="e",H55," ")</f>
        <v>-8319499.04</v>
      </c>
      <c r="K55" s="278" t="str">
        <f t="shared" si="5"/>
        <v xml:space="preserve"> </v>
      </c>
      <c r="L55" s="278" t="str">
        <f t="shared" si="6"/>
        <v xml:space="preserve"> </v>
      </c>
      <c r="M55" s="1378" t="str">
        <f t="shared" si="7"/>
        <v xml:space="preserve"> </v>
      </c>
      <c r="N55" s="1378" t="str">
        <f t="shared" ref="N55:N108" si="9">IF(I55="Labor",H55," ")</f>
        <v xml:space="preserve"> </v>
      </c>
    </row>
    <row r="56" spans="3:15">
      <c r="C56" s="844" t="s">
        <v>870</v>
      </c>
      <c r="D56" s="1377"/>
      <c r="E56" s="844" t="s">
        <v>1585</v>
      </c>
      <c r="F56" s="855"/>
      <c r="G56" s="844" t="s">
        <v>1588</v>
      </c>
      <c r="H56" s="1495">
        <v>-45658.01</v>
      </c>
      <c r="I56" s="870" t="s">
        <v>328</v>
      </c>
      <c r="J56" s="1378">
        <f t="shared" si="8"/>
        <v>-45658.01</v>
      </c>
      <c r="K56" s="278" t="str">
        <f t="shared" si="5"/>
        <v xml:space="preserve"> </v>
      </c>
      <c r="L56" s="278" t="str">
        <f t="shared" si="6"/>
        <v xml:space="preserve"> </v>
      </c>
      <c r="M56" s="1378" t="str">
        <f t="shared" si="7"/>
        <v xml:space="preserve"> </v>
      </c>
      <c r="N56" s="1378" t="str">
        <f t="shared" si="9"/>
        <v xml:space="preserve"> </v>
      </c>
    </row>
    <row r="57" spans="3:15">
      <c r="C57" s="844" t="s">
        <v>870</v>
      </c>
      <c r="D57" s="1377"/>
      <c r="E57" s="844" t="s">
        <v>1240</v>
      </c>
      <c r="F57" s="855"/>
      <c r="G57" s="844" t="s">
        <v>872</v>
      </c>
      <c r="H57" s="1495">
        <v>357968.9</v>
      </c>
      <c r="I57" s="846" t="s">
        <v>328</v>
      </c>
      <c r="J57" s="1378">
        <f t="shared" si="8"/>
        <v>357968.9</v>
      </c>
      <c r="K57" s="278" t="str">
        <f t="shared" si="5"/>
        <v xml:space="preserve"> </v>
      </c>
      <c r="L57" s="278" t="str">
        <f t="shared" si="6"/>
        <v xml:space="preserve"> </v>
      </c>
      <c r="M57" s="1378" t="str">
        <f t="shared" si="7"/>
        <v xml:space="preserve"> </v>
      </c>
      <c r="N57" s="1378" t="str">
        <f t="shared" si="9"/>
        <v xml:space="preserve"> </v>
      </c>
    </row>
    <row r="58" spans="3:15">
      <c r="C58" s="844" t="s">
        <v>870</v>
      </c>
      <c r="D58" s="1377"/>
      <c r="E58" s="844" t="s">
        <v>1241</v>
      </c>
      <c r="F58" s="855"/>
      <c r="G58" s="844" t="s">
        <v>873</v>
      </c>
      <c r="H58" s="1495">
        <v>-3333.49</v>
      </c>
      <c r="I58" s="846" t="s">
        <v>328</v>
      </c>
      <c r="J58" s="1378">
        <f t="shared" si="8"/>
        <v>-3333.49</v>
      </c>
      <c r="K58" s="278" t="str">
        <f t="shared" si="5"/>
        <v xml:space="preserve"> </v>
      </c>
      <c r="L58" s="278" t="str">
        <f t="shared" si="6"/>
        <v xml:space="preserve"> </v>
      </c>
      <c r="M58" s="1378" t="str">
        <f t="shared" si="7"/>
        <v xml:space="preserve"> </v>
      </c>
      <c r="N58" s="1378" t="str">
        <f t="shared" si="9"/>
        <v xml:space="preserve"> </v>
      </c>
    </row>
    <row r="59" spans="3:15">
      <c r="C59" s="844" t="s">
        <v>870</v>
      </c>
      <c r="D59" s="1377" t="s">
        <v>375</v>
      </c>
      <c r="E59" s="844" t="s">
        <v>1242</v>
      </c>
      <c r="F59" s="855"/>
      <c r="G59" s="844" t="s">
        <v>874</v>
      </c>
      <c r="H59" s="1495">
        <v>28096.53</v>
      </c>
      <c r="I59" s="870" t="s">
        <v>328</v>
      </c>
      <c r="J59" s="1378">
        <f t="shared" si="8"/>
        <v>28096.53</v>
      </c>
      <c r="K59" s="278" t="str">
        <f t="shared" si="5"/>
        <v xml:space="preserve"> </v>
      </c>
      <c r="L59" s="278" t="str">
        <f t="shared" si="6"/>
        <v xml:space="preserve"> </v>
      </c>
      <c r="M59" s="1378" t="str">
        <f t="shared" si="7"/>
        <v xml:space="preserve"> </v>
      </c>
      <c r="N59" s="1378" t="str">
        <f t="shared" si="9"/>
        <v xml:space="preserve"> </v>
      </c>
    </row>
    <row r="60" spans="3:15">
      <c r="C60" s="844" t="s">
        <v>870</v>
      </c>
      <c r="D60" s="1377" t="s">
        <v>375</v>
      </c>
      <c r="E60" s="844" t="s">
        <v>1243</v>
      </c>
      <c r="F60" s="855"/>
      <c r="G60" s="844" t="s">
        <v>875</v>
      </c>
      <c r="H60" s="1495">
        <v>-17153328.300000001</v>
      </c>
      <c r="I60" s="870" t="s">
        <v>337</v>
      </c>
      <c r="J60" s="1378" t="str">
        <f t="shared" si="8"/>
        <v xml:space="preserve"> </v>
      </c>
      <c r="K60" s="278" t="str">
        <f t="shared" si="5"/>
        <v xml:space="preserve"> </v>
      </c>
      <c r="L60" s="278" t="str">
        <f t="shared" si="6"/>
        <v xml:space="preserve"> </v>
      </c>
      <c r="M60" s="1378" t="str">
        <f t="shared" si="7"/>
        <v xml:space="preserve"> </v>
      </c>
      <c r="N60" s="1378">
        <f t="shared" si="9"/>
        <v>-17153328.300000001</v>
      </c>
    </row>
    <row r="61" spans="3:15">
      <c r="C61" s="844" t="s">
        <v>870</v>
      </c>
      <c r="D61" s="1377" t="s">
        <v>375</v>
      </c>
      <c r="E61" s="844" t="s">
        <v>1244</v>
      </c>
      <c r="F61" s="855"/>
      <c r="G61" s="844" t="s">
        <v>876</v>
      </c>
      <c r="H61" s="1495">
        <v>19431894.989999998</v>
      </c>
      <c r="I61" s="870" t="s">
        <v>328</v>
      </c>
      <c r="J61" s="1378">
        <f t="shared" si="8"/>
        <v>19431894.989999998</v>
      </c>
      <c r="K61" s="278" t="str">
        <f t="shared" si="5"/>
        <v xml:space="preserve"> </v>
      </c>
      <c r="L61" s="278" t="str">
        <f t="shared" si="6"/>
        <v xml:space="preserve"> </v>
      </c>
      <c r="M61" s="1378" t="str">
        <f t="shared" si="7"/>
        <v xml:space="preserve"> </v>
      </c>
      <c r="N61" s="1378" t="str">
        <f t="shared" si="9"/>
        <v xml:space="preserve"> </v>
      </c>
    </row>
    <row r="62" spans="3:15">
      <c r="C62" s="844" t="s">
        <v>870</v>
      </c>
      <c r="D62" s="1377"/>
      <c r="E62" s="844" t="s">
        <v>1599</v>
      </c>
      <c r="F62" s="855"/>
      <c r="G62" s="844" t="s">
        <v>1600</v>
      </c>
      <c r="H62" s="1495">
        <v>-0.01</v>
      </c>
      <c r="I62" s="870" t="s">
        <v>328</v>
      </c>
      <c r="J62" s="1378">
        <f t="shared" si="8"/>
        <v>-0.01</v>
      </c>
      <c r="K62" s="278" t="str">
        <f t="shared" si="5"/>
        <v xml:space="preserve"> </v>
      </c>
      <c r="L62" s="278" t="str">
        <f t="shared" si="6"/>
        <v xml:space="preserve"> </v>
      </c>
      <c r="M62" s="1378" t="str">
        <f t="shared" si="7"/>
        <v xml:space="preserve"> </v>
      </c>
      <c r="N62" s="1378" t="str">
        <f t="shared" si="9"/>
        <v xml:space="preserve"> </v>
      </c>
    </row>
    <row r="63" spans="3:15">
      <c r="C63" s="844" t="s">
        <v>870</v>
      </c>
      <c r="D63" s="1377" t="s">
        <v>375</v>
      </c>
      <c r="E63" s="844" t="s">
        <v>1245</v>
      </c>
      <c r="F63" s="855"/>
      <c r="G63" s="844" t="s">
        <v>877</v>
      </c>
      <c r="H63" s="1495">
        <v>4.21</v>
      </c>
      <c r="I63" s="870" t="s">
        <v>328</v>
      </c>
      <c r="J63" s="1378">
        <f t="shared" si="8"/>
        <v>4.21</v>
      </c>
      <c r="K63" s="278" t="str">
        <f t="shared" si="5"/>
        <v xml:space="preserve"> </v>
      </c>
      <c r="L63" s="278" t="str">
        <f t="shared" si="6"/>
        <v xml:space="preserve"> </v>
      </c>
      <c r="M63" s="1378" t="str">
        <f t="shared" si="7"/>
        <v xml:space="preserve"> </v>
      </c>
      <c r="N63" s="1378" t="str">
        <f t="shared" si="9"/>
        <v xml:space="preserve"> </v>
      </c>
    </row>
    <row r="64" spans="3:15">
      <c r="C64" s="844" t="s">
        <v>870</v>
      </c>
      <c r="D64" s="1377" t="s">
        <v>375</v>
      </c>
      <c r="E64" s="844" t="s">
        <v>1246</v>
      </c>
      <c r="F64" s="855"/>
      <c r="G64" s="844" t="s">
        <v>878</v>
      </c>
      <c r="H64" s="1495">
        <v>-1177964.1200000001</v>
      </c>
      <c r="I64" s="870" t="s">
        <v>328</v>
      </c>
      <c r="J64" s="1378">
        <f t="shared" si="8"/>
        <v>-1177964.1200000001</v>
      </c>
      <c r="K64" s="278" t="str">
        <f t="shared" si="5"/>
        <v xml:space="preserve"> </v>
      </c>
      <c r="L64" s="278" t="str">
        <f t="shared" si="6"/>
        <v xml:space="preserve"> </v>
      </c>
      <c r="M64" s="1378" t="str">
        <f t="shared" si="7"/>
        <v xml:space="preserve"> </v>
      </c>
      <c r="N64" s="1378" t="str">
        <f t="shared" si="9"/>
        <v xml:space="preserve"> </v>
      </c>
    </row>
    <row r="65" spans="3:14">
      <c r="C65" s="844" t="s">
        <v>870</v>
      </c>
      <c r="D65" s="1377" t="s">
        <v>375</v>
      </c>
      <c r="E65" s="844" t="s">
        <v>1247</v>
      </c>
      <c r="F65" s="855"/>
      <c r="G65" s="844" t="s">
        <v>879</v>
      </c>
      <c r="H65" s="1495">
        <v>-0.01</v>
      </c>
      <c r="I65" s="870" t="s">
        <v>328</v>
      </c>
      <c r="J65" s="1378">
        <f t="shared" si="8"/>
        <v>-0.01</v>
      </c>
      <c r="K65" s="278" t="str">
        <f t="shared" si="5"/>
        <v xml:space="preserve"> </v>
      </c>
      <c r="L65" s="278" t="str">
        <f t="shared" si="6"/>
        <v xml:space="preserve"> </v>
      </c>
      <c r="M65" s="1378" t="str">
        <f t="shared" si="7"/>
        <v xml:space="preserve"> </v>
      </c>
      <c r="N65" s="1378" t="str">
        <f t="shared" si="9"/>
        <v xml:space="preserve"> </v>
      </c>
    </row>
    <row r="66" spans="3:14">
      <c r="C66" s="844" t="s">
        <v>870</v>
      </c>
      <c r="D66" s="1377" t="s">
        <v>375</v>
      </c>
      <c r="E66" s="844" t="s">
        <v>1248</v>
      </c>
      <c r="F66" s="855"/>
      <c r="G66" s="844" t="s">
        <v>880</v>
      </c>
      <c r="H66" s="1495">
        <v>-887.33</v>
      </c>
      <c r="I66" s="870" t="s">
        <v>328</v>
      </c>
      <c r="J66" s="1378">
        <f t="shared" si="8"/>
        <v>-887.33</v>
      </c>
      <c r="K66" s="278" t="str">
        <f t="shared" si="5"/>
        <v xml:space="preserve"> </v>
      </c>
      <c r="L66" s="278" t="str">
        <f t="shared" si="6"/>
        <v xml:space="preserve"> </v>
      </c>
      <c r="M66" s="1378" t="str">
        <f t="shared" si="7"/>
        <v xml:space="preserve"> </v>
      </c>
      <c r="N66" s="1378" t="str">
        <f t="shared" si="9"/>
        <v xml:space="preserve"> </v>
      </c>
    </row>
    <row r="67" spans="3:14">
      <c r="C67" s="844" t="s">
        <v>870</v>
      </c>
      <c r="D67" s="1377" t="s">
        <v>375</v>
      </c>
      <c r="E67" s="844" t="s">
        <v>1249</v>
      </c>
      <c r="F67" s="855"/>
      <c r="G67" s="844" t="s">
        <v>881</v>
      </c>
      <c r="H67" s="1495">
        <v>0.03</v>
      </c>
      <c r="I67" s="870" t="s">
        <v>328</v>
      </c>
      <c r="J67" s="1378">
        <f t="shared" si="8"/>
        <v>0.03</v>
      </c>
      <c r="K67" s="278" t="str">
        <f t="shared" si="5"/>
        <v xml:space="preserve"> </v>
      </c>
      <c r="L67" s="278" t="str">
        <f t="shared" si="6"/>
        <v xml:space="preserve"> </v>
      </c>
      <c r="M67" s="1378" t="str">
        <f t="shared" si="7"/>
        <v xml:space="preserve"> </v>
      </c>
      <c r="N67" s="1378" t="str">
        <f t="shared" si="9"/>
        <v xml:space="preserve"> </v>
      </c>
    </row>
    <row r="68" spans="3:14">
      <c r="C68" s="844" t="s">
        <v>870</v>
      </c>
      <c r="D68" s="1377" t="s">
        <v>375</v>
      </c>
      <c r="E68" s="844" t="s">
        <v>1250</v>
      </c>
      <c r="F68" s="855"/>
      <c r="G68" s="844" t="s">
        <v>882</v>
      </c>
      <c r="H68" s="1495">
        <v>-1152506.08</v>
      </c>
      <c r="I68" s="870" t="s">
        <v>328</v>
      </c>
      <c r="J68" s="1378">
        <f t="shared" si="8"/>
        <v>-1152506.08</v>
      </c>
      <c r="K68" s="278" t="str">
        <f t="shared" si="5"/>
        <v xml:space="preserve"> </v>
      </c>
      <c r="L68" s="278" t="str">
        <f t="shared" si="6"/>
        <v xml:space="preserve"> </v>
      </c>
      <c r="M68" s="1378" t="str">
        <f t="shared" si="7"/>
        <v xml:space="preserve"> </v>
      </c>
      <c r="N68" s="1378" t="str">
        <f t="shared" si="9"/>
        <v xml:space="preserve"> </v>
      </c>
    </row>
    <row r="69" spans="3:14">
      <c r="C69" s="844" t="s">
        <v>870</v>
      </c>
      <c r="D69" s="1377"/>
      <c r="E69" s="844" t="s">
        <v>1601</v>
      </c>
      <c r="F69" s="855"/>
      <c r="G69" s="844" t="s">
        <v>1602</v>
      </c>
      <c r="H69" s="1495">
        <v>-0.01</v>
      </c>
      <c r="I69" s="870" t="s">
        <v>328</v>
      </c>
      <c r="J69" s="1378">
        <f t="shared" si="8"/>
        <v>-0.01</v>
      </c>
      <c r="K69" s="278" t="str">
        <f t="shared" si="5"/>
        <v xml:space="preserve"> </v>
      </c>
      <c r="L69" s="278" t="str">
        <f t="shared" si="6"/>
        <v xml:space="preserve"> </v>
      </c>
      <c r="M69" s="1378" t="str">
        <f t="shared" si="7"/>
        <v xml:space="preserve"> </v>
      </c>
      <c r="N69" s="1378" t="str">
        <f t="shared" si="9"/>
        <v xml:space="preserve"> </v>
      </c>
    </row>
    <row r="70" spans="3:14">
      <c r="C70" s="844" t="s">
        <v>870</v>
      </c>
      <c r="D70" s="1377" t="s">
        <v>375</v>
      </c>
      <c r="E70" s="844" t="s">
        <v>1251</v>
      </c>
      <c r="F70" s="855"/>
      <c r="G70" s="844" t="s">
        <v>883</v>
      </c>
      <c r="H70" s="1495">
        <v>-19431895.289999999</v>
      </c>
      <c r="I70" s="870" t="s">
        <v>328</v>
      </c>
      <c r="J70" s="1378">
        <f t="shared" si="8"/>
        <v>-19431895.289999999</v>
      </c>
      <c r="K70" s="278" t="str">
        <f t="shared" si="5"/>
        <v xml:space="preserve"> </v>
      </c>
      <c r="L70" s="278" t="str">
        <f t="shared" si="6"/>
        <v xml:space="preserve"> </v>
      </c>
      <c r="M70" s="1378" t="str">
        <f t="shared" si="7"/>
        <v xml:space="preserve"> </v>
      </c>
      <c r="N70" s="1378" t="str">
        <f t="shared" si="9"/>
        <v xml:space="preserve"> </v>
      </c>
    </row>
    <row r="71" spans="3:14">
      <c r="C71" s="844" t="s">
        <v>870</v>
      </c>
      <c r="D71" s="1377" t="s">
        <v>375</v>
      </c>
      <c r="E71" s="844" t="s">
        <v>1252</v>
      </c>
      <c r="F71" s="855"/>
      <c r="G71" s="844" t="s">
        <v>884</v>
      </c>
      <c r="H71" s="1495">
        <v>-228228.36</v>
      </c>
      <c r="I71" s="870" t="s">
        <v>328</v>
      </c>
      <c r="J71" s="1378">
        <f t="shared" si="8"/>
        <v>-228228.36</v>
      </c>
      <c r="K71" s="278" t="str">
        <f t="shared" si="5"/>
        <v xml:space="preserve"> </v>
      </c>
      <c r="L71" s="278" t="str">
        <f t="shared" si="6"/>
        <v xml:space="preserve"> </v>
      </c>
      <c r="M71" s="1378" t="str">
        <f t="shared" si="7"/>
        <v xml:space="preserve"> </v>
      </c>
      <c r="N71" s="1378" t="str">
        <f t="shared" si="9"/>
        <v xml:space="preserve"> </v>
      </c>
    </row>
    <row r="72" spans="3:14">
      <c r="C72" s="844" t="s">
        <v>870</v>
      </c>
      <c r="D72" s="1377" t="s">
        <v>375</v>
      </c>
      <c r="E72" s="844" t="s">
        <v>1253</v>
      </c>
      <c r="F72" s="855"/>
      <c r="G72" s="844" t="s">
        <v>885</v>
      </c>
      <c r="H72" s="1495">
        <v>343307.39</v>
      </c>
      <c r="I72" s="870" t="s">
        <v>328</v>
      </c>
      <c r="J72" s="1378">
        <f t="shared" si="8"/>
        <v>343307.39</v>
      </c>
      <c r="K72" s="278" t="str">
        <f t="shared" si="5"/>
        <v xml:space="preserve"> </v>
      </c>
      <c r="L72" s="278" t="str">
        <f t="shared" si="6"/>
        <v xml:space="preserve"> </v>
      </c>
      <c r="M72" s="1378" t="str">
        <f t="shared" si="7"/>
        <v xml:space="preserve"> </v>
      </c>
      <c r="N72" s="1378" t="str">
        <f t="shared" si="9"/>
        <v xml:space="preserve"> </v>
      </c>
    </row>
    <row r="73" spans="3:14">
      <c r="C73" s="844" t="s">
        <v>870</v>
      </c>
      <c r="D73" s="1377" t="s">
        <v>375</v>
      </c>
      <c r="E73" s="844" t="s">
        <v>1254</v>
      </c>
      <c r="F73" s="855"/>
      <c r="G73" s="844" t="s">
        <v>886</v>
      </c>
      <c r="H73" s="1495">
        <v>-45356.45</v>
      </c>
      <c r="I73" s="870" t="s">
        <v>328</v>
      </c>
      <c r="J73" s="1378">
        <f t="shared" si="8"/>
        <v>-45356.45</v>
      </c>
      <c r="K73" s="278" t="str">
        <f t="shared" si="5"/>
        <v xml:space="preserve"> </v>
      </c>
      <c r="L73" s="278" t="str">
        <f t="shared" si="6"/>
        <v xml:space="preserve"> </v>
      </c>
      <c r="M73" s="1378" t="str">
        <f t="shared" si="7"/>
        <v xml:space="preserve"> </v>
      </c>
      <c r="N73" s="1378" t="str">
        <f t="shared" si="9"/>
        <v xml:space="preserve"> </v>
      </c>
    </row>
    <row r="74" spans="3:14">
      <c r="C74" s="844" t="s">
        <v>870</v>
      </c>
      <c r="D74" s="1377" t="s">
        <v>375</v>
      </c>
      <c r="E74" s="844" t="s">
        <v>1255</v>
      </c>
      <c r="F74" s="855"/>
      <c r="G74" s="844" t="s">
        <v>887</v>
      </c>
      <c r="H74" s="1495">
        <v>0</v>
      </c>
      <c r="I74" s="870" t="s">
        <v>328</v>
      </c>
      <c r="J74" s="1378">
        <f t="shared" si="8"/>
        <v>0</v>
      </c>
      <c r="K74" s="278" t="str">
        <f t="shared" si="5"/>
        <v xml:space="preserve"> </v>
      </c>
      <c r="L74" s="278" t="str">
        <f t="shared" si="6"/>
        <v xml:space="preserve"> </v>
      </c>
      <c r="M74" s="1378" t="str">
        <f t="shared" si="7"/>
        <v xml:space="preserve"> </v>
      </c>
      <c r="N74" s="1378" t="str">
        <f t="shared" si="9"/>
        <v xml:space="preserve"> </v>
      </c>
    </row>
    <row r="75" spans="3:14">
      <c r="C75" s="844" t="s">
        <v>870</v>
      </c>
      <c r="D75" s="1377" t="s">
        <v>375</v>
      </c>
      <c r="E75" s="844" t="s">
        <v>1256</v>
      </c>
      <c r="F75" s="855"/>
      <c r="G75" s="844" t="s">
        <v>888</v>
      </c>
      <c r="H75" s="1495">
        <v>0.04</v>
      </c>
      <c r="I75" s="870" t="s">
        <v>328</v>
      </c>
      <c r="J75" s="1378">
        <f t="shared" si="8"/>
        <v>0.04</v>
      </c>
      <c r="K75" s="278" t="str">
        <f t="shared" si="5"/>
        <v xml:space="preserve"> </v>
      </c>
      <c r="L75" s="278" t="str">
        <f t="shared" si="6"/>
        <v xml:space="preserve"> </v>
      </c>
      <c r="M75" s="1378" t="str">
        <f t="shared" si="7"/>
        <v xml:space="preserve"> </v>
      </c>
      <c r="N75" s="1378" t="str">
        <f t="shared" si="9"/>
        <v xml:space="preserve"> </v>
      </c>
    </row>
    <row r="76" spans="3:14">
      <c r="C76" s="844" t="s">
        <v>870</v>
      </c>
      <c r="D76" s="1377" t="s">
        <v>375</v>
      </c>
      <c r="E76" s="844" t="s">
        <v>1257</v>
      </c>
      <c r="F76" s="855"/>
      <c r="G76" s="844" t="s">
        <v>889</v>
      </c>
      <c r="H76" s="1495">
        <v>-0.06</v>
      </c>
      <c r="I76" s="870" t="s">
        <v>328</v>
      </c>
      <c r="J76" s="1378">
        <f t="shared" si="8"/>
        <v>-0.06</v>
      </c>
      <c r="K76" s="278" t="str">
        <f t="shared" si="5"/>
        <v xml:space="preserve"> </v>
      </c>
      <c r="L76" s="278" t="str">
        <f t="shared" si="6"/>
        <v xml:space="preserve"> </v>
      </c>
      <c r="M76" s="1378" t="str">
        <f t="shared" si="7"/>
        <v xml:space="preserve"> </v>
      </c>
      <c r="N76" s="1378" t="str">
        <f t="shared" si="9"/>
        <v xml:space="preserve"> </v>
      </c>
    </row>
    <row r="77" spans="3:14">
      <c r="C77" s="844" t="s">
        <v>870</v>
      </c>
      <c r="D77" s="1377" t="s">
        <v>375</v>
      </c>
      <c r="E77" s="844" t="s">
        <v>1258</v>
      </c>
      <c r="F77" s="855"/>
      <c r="G77" s="844" t="s">
        <v>890</v>
      </c>
      <c r="H77" s="1495">
        <v>-93840.33</v>
      </c>
      <c r="I77" s="870" t="s">
        <v>328</v>
      </c>
      <c r="J77" s="1378">
        <f t="shared" si="8"/>
        <v>-93840.33</v>
      </c>
      <c r="K77" s="278" t="str">
        <f t="shared" si="5"/>
        <v xml:space="preserve"> </v>
      </c>
      <c r="L77" s="278" t="str">
        <f t="shared" si="6"/>
        <v xml:space="preserve"> </v>
      </c>
      <c r="M77" s="1378" t="str">
        <f t="shared" si="7"/>
        <v xml:space="preserve"> </v>
      </c>
      <c r="N77" s="1378" t="str">
        <f t="shared" si="9"/>
        <v xml:space="preserve"> </v>
      </c>
    </row>
    <row r="78" spans="3:14">
      <c r="C78" s="844" t="s">
        <v>870</v>
      </c>
      <c r="D78" s="1377" t="s">
        <v>375</v>
      </c>
      <c r="E78" s="844" t="s">
        <v>1259</v>
      </c>
      <c r="F78" s="855"/>
      <c r="G78" s="844" t="s">
        <v>891</v>
      </c>
      <c r="H78" s="1495">
        <v>-0.06</v>
      </c>
      <c r="I78" s="870" t="s">
        <v>328</v>
      </c>
      <c r="J78" s="1378">
        <f t="shared" si="8"/>
        <v>-0.06</v>
      </c>
      <c r="K78" s="278" t="str">
        <f t="shared" si="5"/>
        <v xml:space="preserve"> </v>
      </c>
      <c r="L78" s="278" t="str">
        <f t="shared" si="6"/>
        <v xml:space="preserve"> </v>
      </c>
      <c r="M78" s="1378" t="str">
        <f t="shared" si="7"/>
        <v xml:space="preserve"> </v>
      </c>
      <c r="N78" s="1378" t="str">
        <f t="shared" si="9"/>
        <v xml:space="preserve"> </v>
      </c>
    </row>
    <row r="79" spans="3:14">
      <c r="C79" s="844" t="s">
        <v>870</v>
      </c>
      <c r="D79" s="1377" t="s">
        <v>375</v>
      </c>
      <c r="E79" s="844" t="s">
        <v>1260</v>
      </c>
      <c r="F79" s="855"/>
      <c r="G79" s="844" t="s">
        <v>892</v>
      </c>
      <c r="H79" s="1495">
        <v>0</v>
      </c>
      <c r="I79" s="870" t="s">
        <v>328</v>
      </c>
      <c r="J79" s="1378">
        <f t="shared" si="8"/>
        <v>0</v>
      </c>
      <c r="K79" s="278" t="str">
        <f t="shared" si="5"/>
        <v xml:space="preserve"> </v>
      </c>
      <c r="L79" s="278" t="str">
        <f t="shared" si="6"/>
        <v xml:space="preserve"> </v>
      </c>
      <c r="M79" s="1378" t="str">
        <f t="shared" si="7"/>
        <v xml:space="preserve"> </v>
      </c>
      <c r="N79" s="1378" t="str">
        <f t="shared" si="9"/>
        <v xml:space="preserve"> </v>
      </c>
    </row>
    <row r="80" spans="3:14">
      <c r="C80" s="844" t="s">
        <v>870</v>
      </c>
      <c r="D80" s="1377"/>
      <c r="E80" s="844" t="s">
        <v>1603</v>
      </c>
      <c r="F80" s="855"/>
      <c r="G80" s="844" t="s">
        <v>1604</v>
      </c>
      <c r="H80" s="1495">
        <v>-293252.49</v>
      </c>
      <c r="I80" s="870" t="s">
        <v>328</v>
      </c>
      <c r="J80" s="1378">
        <f t="shared" si="8"/>
        <v>-293252.49</v>
      </c>
      <c r="K80" s="278" t="str">
        <f t="shared" si="5"/>
        <v xml:space="preserve"> </v>
      </c>
      <c r="L80" s="278" t="str">
        <f t="shared" si="6"/>
        <v xml:space="preserve"> </v>
      </c>
      <c r="M80" s="1378" t="str">
        <f t="shared" si="7"/>
        <v xml:space="preserve"> </v>
      </c>
      <c r="N80" s="1378" t="str">
        <f t="shared" si="9"/>
        <v xml:space="preserve"> </v>
      </c>
    </row>
    <row r="81" spans="3:14">
      <c r="C81" s="844" t="s">
        <v>870</v>
      </c>
      <c r="D81" s="1377" t="s">
        <v>375</v>
      </c>
      <c r="E81" s="844" t="s">
        <v>1261</v>
      </c>
      <c r="F81" s="855"/>
      <c r="G81" s="844" t="s">
        <v>893</v>
      </c>
      <c r="H81" s="1495">
        <v>-485341.04</v>
      </c>
      <c r="I81" s="870" t="s">
        <v>328</v>
      </c>
      <c r="J81" s="1378">
        <f t="shared" si="8"/>
        <v>-485341.04</v>
      </c>
      <c r="K81" s="278" t="str">
        <f t="shared" si="5"/>
        <v xml:space="preserve"> </v>
      </c>
      <c r="L81" s="278" t="str">
        <f t="shared" si="6"/>
        <v xml:space="preserve"> </v>
      </c>
      <c r="M81" s="1378" t="str">
        <f t="shared" si="7"/>
        <v xml:space="preserve"> </v>
      </c>
      <c r="N81" s="1378" t="str">
        <f t="shared" si="9"/>
        <v xml:space="preserve"> </v>
      </c>
    </row>
    <row r="82" spans="3:14">
      <c r="C82" s="844" t="s">
        <v>870</v>
      </c>
      <c r="D82" s="1377" t="s">
        <v>375</v>
      </c>
      <c r="E82" s="844" t="s">
        <v>1262</v>
      </c>
      <c r="F82" s="855"/>
      <c r="G82" s="844" t="s">
        <v>894</v>
      </c>
      <c r="H82" s="1495">
        <v>0.01</v>
      </c>
      <c r="I82" s="870" t="s">
        <v>328</v>
      </c>
      <c r="J82" s="1378">
        <f t="shared" si="8"/>
        <v>0.01</v>
      </c>
      <c r="K82" s="278" t="str">
        <f t="shared" si="5"/>
        <v xml:space="preserve"> </v>
      </c>
      <c r="L82" s="278" t="str">
        <f t="shared" si="6"/>
        <v xml:space="preserve"> </v>
      </c>
      <c r="M82" s="1378" t="str">
        <f t="shared" si="7"/>
        <v xml:space="preserve"> </v>
      </c>
      <c r="N82" s="1378" t="str">
        <f t="shared" si="9"/>
        <v xml:space="preserve"> </v>
      </c>
    </row>
    <row r="83" spans="3:14">
      <c r="C83" s="844" t="s">
        <v>870</v>
      </c>
      <c r="D83" s="1377" t="s">
        <v>375</v>
      </c>
      <c r="E83" s="844" t="s">
        <v>1263</v>
      </c>
      <c r="F83" s="855"/>
      <c r="G83" s="844" t="s">
        <v>895</v>
      </c>
      <c r="H83" s="1495">
        <v>-609331.56999999995</v>
      </c>
      <c r="I83" s="870" t="s">
        <v>328</v>
      </c>
      <c r="J83" s="1378">
        <f t="shared" si="8"/>
        <v>-609331.56999999995</v>
      </c>
      <c r="K83" s="278" t="str">
        <f t="shared" si="5"/>
        <v xml:space="preserve"> </v>
      </c>
      <c r="L83" s="278" t="str">
        <f t="shared" si="6"/>
        <v xml:space="preserve"> </v>
      </c>
      <c r="M83" s="1378" t="str">
        <f t="shared" si="7"/>
        <v xml:space="preserve"> </v>
      </c>
      <c r="N83" s="1378" t="str">
        <f t="shared" si="9"/>
        <v xml:space="preserve"> </v>
      </c>
    </row>
    <row r="84" spans="3:14">
      <c r="C84" s="844" t="s">
        <v>870</v>
      </c>
      <c r="D84" s="1377" t="s">
        <v>375</v>
      </c>
      <c r="E84" s="844" t="s">
        <v>1264</v>
      </c>
      <c r="F84" s="855"/>
      <c r="G84" s="844" t="s">
        <v>896</v>
      </c>
      <c r="H84" s="1495">
        <v>-160493.76000000001</v>
      </c>
      <c r="I84" s="870" t="s">
        <v>328</v>
      </c>
      <c r="J84" s="1378">
        <f t="shared" si="8"/>
        <v>-160493.76000000001</v>
      </c>
      <c r="K84" s="278" t="str">
        <f t="shared" si="5"/>
        <v xml:space="preserve"> </v>
      </c>
      <c r="L84" s="278" t="str">
        <f t="shared" si="6"/>
        <v xml:space="preserve"> </v>
      </c>
      <c r="M84" s="1378" t="str">
        <f t="shared" si="7"/>
        <v xml:space="preserve"> </v>
      </c>
      <c r="N84" s="1378" t="str">
        <f t="shared" si="9"/>
        <v xml:space="preserve"> </v>
      </c>
    </row>
    <row r="85" spans="3:14">
      <c r="C85" s="844" t="s">
        <v>870</v>
      </c>
      <c r="D85" s="1377" t="s">
        <v>375</v>
      </c>
      <c r="E85" s="844" t="s">
        <v>1265</v>
      </c>
      <c r="F85" s="855"/>
      <c r="G85" s="844" t="s">
        <v>897</v>
      </c>
      <c r="H85" s="1495">
        <v>-4687826.58</v>
      </c>
      <c r="I85" s="870" t="s">
        <v>328</v>
      </c>
      <c r="J85" s="1378">
        <f t="shared" si="8"/>
        <v>-4687826.58</v>
      </c>
      <c r="K85" s="278" t="str">
        <f t="shared" si="5"/>
        <v xml:space="preserve"> </v>
      </c>
      <c r="L85" s="278" t="str">
        <f t="shared" si="6"/>
        <v xml:space="preserve"> </v>
      </c>
      <c r="M85" s="1378" t="str">
        <f t="shared" si="7"/>
        <v xml:space="preserve"> </v>
      </c>
      <c r="N85" s="1378" t="str">
        <f t="shared" si="9"/>
        <v xml:space="preserve"> </v>
      </c>
    </row>
    <row r="86" spans="3:14">
      <c r="C86" s="844" t="s">
        <v>870</v>
      </c>
      <c r="D86" s="1377" t="s">
        <v>375</v>
      </c>
      <c r="E86" s="844" t="s">
        <v>1266</v>
      </c>
      <c r="F86" s="855"/>
      <c r="G86" s="844" t="s">
        <v>898</v>
      </c>
      <c r="H86" s="1495">
        <v>1639669.12</v>
      </c>
      <c r="I86" s="870" t="s">
        <v>328</v>
      </c>
      <c r="J86" s="1378">
        <f t="shared" si="8"/>
        <v>1639669.12</v>
      </c>
      <c r="K86" s="278" t="str">
        <f t="shared" si="5"/>
        <v xml:space="preserve"> </v>
      </c>
      <c r="L86" s="278" t="str">
        <f t="shared" si="6"/>
        <v xml:space="preserve"> </v>
      </c>
      <c r="M86" s="1378" t="str">
        <f t="shared" si="7"/>
        <v xml:space="preserve"> </v>
      </c>
      <c r="N86" s="1378" t="str">
        <f t="shared" si="9"/>
        <v xml:space="preserve"> </v>
      </c>
    </row>
    <row r="87" spans="3:14">
      <c r="C87" s="844" t="s">
        <v>870</v>
      </c>
      <c r="D87" s="1377"/>
      <c r="E87" s="844" t="s">
        <v>1605</v>
      </c>
      <c r="F87" s="855"/>
      <c r="G87" s="844" t="s">
        <v>1606</v>
      </c>
      <c r="H87" s="1495">
        <v>-1025415.14</v>
      </c>
      <c r="I87" s="870" t="s">
        <v>328</v>
      </c>
      <c r="J87" s="1378">
        <f t="shared" si="8"/>
        <v>-1025415.14</v>
      </c>
      <c r="K87" s="278" t="str">
        <f t="shared" si="5"/>
        <v xml:space="preserve"> </v>
      </c>
      <c r="L87" s="278" t="str">
        <f t="shared" si="6"/>
        <v xml:space="preserve"> </v>
      </c>
      <c r="M87" s="1378" t="str">
        <f t="shared" si="7"/>
        <v xml:space="preserve"> </v>
      </c>
      <c r="N87" s="1378" t="str">
        <f t="shared" si="9"/>
        <v xml:space="preserve"> </v>
      </c>
    </row>
    <row r="88" spans="3:14">
      <c r="C88" s="844" t="s">
        <v>870</v>
      </c>
      <c r="D88" s="1377"/>
      <c r="E88" s="844" t="s">
        <v>1607</v>
      </c>
      <c r="F88" s="855"/>
      <c r="G88" s="844" t="s">
        <v>1608</v>
      </c>
      <c r="H88" s="1495">
        <v>55971.29</v>
      </c>
      <c r="I88" s="870" t="s">
        <v>328</v>
      </c>
      <c r="J88" s="1378">
        <f t="shared" si="8"/>
        <v>55971.29</v>
      </c>
      <c r="K88" s="278" t="str">
        <f t="shared" si="5"/>
        <v xml:space="preserve"> </v>
      </c>
      <c r="L88" s="278" t="str">
        <f t="shared" si="6"/>
        <v xml:space="preserve"> </v>
      </c>
      <c r="M88" s="1378" t="str">
        <f t="shared" si="7"/>
        <v xml:space="preserve"> </v>
      </c>
      <c r="N88" s="1378" t="str">
        <f t="shared" si="9"/>
        <v xml:space="preserve"> </v>
      </c>
    </row>
    <row r="89" spans="3:14">
      <c r="C89" s="844" t="s">
        <v>870</v>
      </c>
      <c r="D89" s="1377"/>
      <c r="E89" s="844" t="s">
        <v>1609</v>
      </c>
      <c r="F89" s="855"/>
      <c r="G89" s="844" t="s">
        <v>1610</v>
      </c>
      <c r="H89" s="1495">
        <v>-3614219.77</v>
      </c>
      <c r="I89" s="870" t="s">
        <v>328</v>
      </c>
      <c r="J89" s="1378">
        <f t="shared" si="8"/>
        <v>-3614219.77</v>
      </c>
      <c r="K89" s="278" t="str">
        <f t="shared" si="5"/>
        <v xml:space="preserve"> </v>
      </c>
      <c r="L89" s="278" t="str">
        <f t="shared" si="6"/>
        <v xml:space="preserve"> </v>
      </c>
      <c r="M89" s="1378" t="str">
        <f t="shared" si="7"/>
        <v xml:space="preserve"> </v>
      </c>
      <c r="N89" s="1378" t="str">
        <f t="shared" si="9"/>
        <v xml:space="preserve"> </v>
      </c>
    </row>
    <row r="90" spans="3:14">
      <c r="C90" s="844" t="s">
        <v>870</v>
      </c>
      <c r="D90" s="1377"/>
      <c r="E90" s="844" t="s">
        <v>1611</v>
      </c>
      <c r="F90" s="855"/>
      <c r="G90" s="844" t="s">
        <v>1612</v>
      </c>
      <c r="H90" s="1495">
        <v>-105599.28</v>
      </c>
      <c r="I90" s="870" t="s">
        <v>328</v>
      </c>
      <c r="J90" s="1378">
        <f t="shared" si="8"/>
        <v>-105599.28</v>
      </c>
      <c r="K90" s="278" t="str">
        <f t="shared" si="5"/>
        <v xml:space="preserve"> </v>
      </c>
      <c r="L90" s="278" t="str">
        <f t="shared" si="6"/>
        <v xml:space="preserve"> </v>
      </c>
      <c r="M90" s="1378" t="str">
        <f t="shared" si="7"/>
        <v xml:space="preserve"> </v>
      </c>
      <c r="N90" s="1378" t="str">
        <f t="shared" si="9"/>
        <v xml:space="preserve"> </v>
      </c>
    </row>
    <row r="91" spans="3:14">
      <c r="C91" s="844" t="s">
        <v>870</v>
      </c>
      <c r="D91" s="1377"/>
      <c r="E91" s="844" t="s">
        <v>1613</v>
      </c>
      <c r="F91" s="855"/>
      <c r="G91" s="844" t="s">
        <v>1614</v>
      </c>
      <c r="H91" s="1495">
        <v>0.01</v>
      </c>
      <c r="I91" s="870" t="s">
        <v>328</v>
      </c>
      <c r="J91" s="1378">
        <f t="shared" si="8"/>
        <v>0.01</v>
      </c>
      <c r="K91" s="278" t="str">
        <f t="shared" si="5"/>
        <v xml:space="preserve"> </v>
      </c>
      <c r="L91" s="278" t="str">
        <f t="shared" si="6"/>
        <v xml:space="preserve"> </v>
      </c>
      <c r="M91" s="1378" t="str">
        <f t="shared" si="7"/>
        <v xml:space="preserve"> </v>
      </c>
      <c r="N91" s="1378" t="str">
        <f t="shared" si="9"/>
        <v xml:space="preserve"> </v>
      </c>
    </row>
    <row r="92" spans="3:14">
      <c r="C92" s="844" t="s">
        <v>870</v>
      </c>
      <c r="D92" s="1377" t="s">
        <v>375</v>
      </c>
      <c r="E92" s="844" t="s">
        <v>1267</v>
      </c>
      <c r="F92" s="855"/>
      <c r="G92" s="844" t="s">
        <v>899</v>
      </c>
      <c r="H92" s="1495">
        <v>-892647.15</v>
      </c>
      <c r="I92" s="870" t="s">
        <v>184</v>
      </c>
      <c r="J92" s="1378" t="str">
        <f t="shared" si="8"/>
        <v xml:space="preserve"> </v>
      </c>
      <c r="K92" s="278" t="str">
        <f t="shared" si="5"/>
        <v xml:space="preserve"> </v>
      </c>
      <c r="L92" s="278">
        <f t="shared" si="6"/>
        <v>-892647.15</v>
      </c>
      <c r="M92" s="1378" t="str">
        <f t="shared" si="7"/>
        <v xml:space="preserve"> </v>
      </c>
      <c r="N92" s="1378" t="str">
        <f t="shared" si="9"/>
        <v xml:space="preserve"> </v>
      </c>
    </row>
    <row r="93" spans="3:14">
      <c r="C93" s="844" t="s">
        <v>870</v>
      </c>
      <c r="D93" s="1377" t="s">
        <v>375</v>
      </c>
      <c r="E93" s="844" t="s">
        <v>1268</v>
      </c>
      <c r="F93" s="855"/>
      <c r="G93" s="844" t="s">
        <v>900</v>
      </c>
      <c r="H93" s="1495">
        <v>2452.73</v>
      </c>
      <c r="I93" s="870" t="s">
        <v>184</v>
      </c>
      <c r="J93" s="1378" t="str">
        <f t="shared" si="8"/>
        <v xml:space="preserve"> </v>
      </c>
      <c r="K93" s="278" t="str">
        <f t="shared" si="5"/>
        <v xml:space="preserve"> </v>
      </c>
      <c r="L93" s="278">
        <f t="shared" si="6"/>
        <v>2452.73</v>
      </c>
      <c r="M93" s="1378" t="str">
        <f t="shared" si="7"/>
        <v xml:space="preserve"> </v>
      </c>
      <c r="N93" s="1378" t="str">
        <f t="shared" si="9"/>
        <v xml:space="preserve"> </v>
      </c>
    </row>
    <row r="94" spans="3:14">
      <c r="C94" s="844" t="s">
        <v>870</v>
      </c>
      <c r="D94" s="1377" t="s">
        <v>375</v>
      </c>
      <c r="E94" s="844" t="s">
        <v>1269</v>
      </c>
      <c r="F94" s="855"/>
      <c r="G94" s="844" t="s">
        <v>901</v>
      </c>
      <c r="H94" s="1495">
        <v>-6012154.1500000004</v>
      </c>
      <c r="I94" s="870" t="s">
        <v>328</v>
      </c>
      <c r="J94" s="1378">
        <f t="shared" si="8"/>
        <v>-6012154.1500000004</v>
      </c>
      <c r="K94" s="278" t="str">
        <f t="shared" si="5"/>
        <v xml:space="preserve"> </v>
      </c>
      <c r="L94" s="278" t="str">
        <f t="shared" si="6"/>
        <v xml:space="preserve"> </v>
      </c>
      <c r="M94" s="1378" t="str">
        <f t="shared" si="7"/>
        <v xml:space="preserve"> </v>
      </c>
      <c r="N94" s="1378" t="str">
        <f t="shared" si="9"/>
        <v xml:space="preserve"> </v>
      </c>
    </row>
    <row r="95" spans="3:14">
      <c r="C95" s="844" t="s">
        <v>870</v>
      </c>
      <c r="D95" s="1377" t="s">
        <v>375</v>
      </c>
      <c r="E95" s="844" t="s">
        <v>1270</v>
      </c>
      <c r="F95" s="855"/>
      <c r="G95" s="844" t="s">
        <v>902</v>
      </c>
      <c r="H95" s="1495">
        <v>3441110.92</v>
      </c>
      <c r="I95" s="846" t="s">
        <v>328</v>
      </c>
      <c r="J95" s="1378">
        <f t="shared" si="8"/>
        <v>3441110.92</v>
      </c>
      <c r="K95" s="278" t="str">
        <f t="shared" si="5"/>
        <v xml:space="preserve"> </v>
      </c>
      <c r="L95" s="278" t="str">
        <f t="shared" si="6"/>
        <v xml:space="preserve"> </v>
      </c>
      <c r="M95" s="1378" t="str">
        <f t="shared" si="7"/>
        <v xml:space="preserve"> </v>
      </c>
      <c r="N95" s="1378" t="str">
        <f t="shared" si="9"/>
        <v xml:space="preserve"> </v>
      </c>
    </row>
    <row r="96" spans="3:14">
      <c r="C96" s="844" t="s">
        <v>870</v>
      </c>
      <c r="D96" s="1377" t="s">
        <v>375</v>
      </c>
      <c r="E96" s="844" t="s">
        <v>1271</v>
      </c>
      <c r="F96" s="855"/>
      <c r="G96" s="844" t="s">
        <v>903</v>
      </c>
      <c r="H96" s="1495">
        <v>1184825.6000000001</v>
      </c>
      <c r="I96" s="870" t="s">
        <v>337</v>
      </c>
      <c r="J96" s="1378" t="str">
        <f t="shared" si="8"/>
        <v xml:space="preserve"> </v>
      </c>
      <c r="K96" s="278" t="str">
        <f t="shared" si="5"/>
        <v xml:space="preserve"> </v>
      </c>
      <c r="L96" s="278" t="str">
        <f t="shared" si="6"/>
        <v xml:space="preserve"> </v>
      </c>
      <c r="M96" s="1378" t="str">
        <f t="shared" si="7"/>
        <v xml:space="preserve"> </v>
      </c>
      <c r="N96" s="1378">
        <f t="shared" si="9"/>
        <v>1184825.6000000001</v>
      </c>
    </row>
    <row r="97" spans="3:15">
      <c r="C97" s="844" t="s">
        <v>870</v>
      </c>
      <c r="D97" s="1377" t="s">
        <v>375</v>
      </c>
      <c r="E97" s="844" t="s">
        <v>1272</v>
      </c>
      <c r="F97" s="855"/>
      <c r="G97" s="844" t="s">
        <v>904</v>
      </c>
      <c r="H97" s="1495">
        <v>-699968.83</v>
      </c>
      <c r="I97" s="870" t="s">
        <v>328</v>
      </c>
      <c r="J97" s="1378">
        <f t="shared" si="8"/>
        <v>-699968.83</v>
      </c>
      <c r="K97" s="278" t="str">
        <f t="shared" si="5"/>
        <v xml:space="preserve"> </v>
      </c>
      <c r="L97" s="278" t="str">
        <f t="shared" si="6"/>
        <v xml:space="preserve"> </v>
      </c>
      <c r="M97" s="1378" t="str">
        <f t="shared" si="7"/>
        <v xml:space="preserve"> </v>
      </c>
      <c r="N97" s="1378" t="str">
        <f t="shared" si="9"/>
        <v xml:space="preserve"> </v>
      </c>
    </row>
    <row r="98" spans="3:15">
      <c r="C98" s="844" t="s">
        <v>870</v>
      </c>
      <c r="D98" s="1377"/>
      <c r="E98" s="844" t="s">
        <v>1273</v>
      </c>
      <c r="F98" s="855"/>
      <c r="G98" s="844" t="s">
        <v>905</v>
      </c>
      <c r="H98" s="1495">
        <v>0.08</v>
      </c>
      <c r="I98" s="870" t="s">
        <v>328</v>
      </c>
      <c r="J98" s="1378">
        <f t="shared" si="8"/>
        <v>0.08</v>
      </c>
      <c r="K98" s="278" t="str">
        <f t="shared" si="5"/>
        <v xml:space="preserve"> </v>
      </c>
      <c r="L98" s="278" t="str">
        <f t="shared" si="6"/>
        <v xml:space="preserve"> </v>
      </c>
      <c r="M98" s="1378" t="str">
        <f t="shared" si="7"/>
        <v xml:space="preserve"> </v>
      </c>
      <c r="N98" s="1378" t="str">
        <f t="shared" si="9"/>
        <v xml:space="preserve"> </v>
      </c>
    </row>
    <row r="99" spans="3:15">
      <c r="C99" s="844" t="s">
        <v>870</v>
      </c>
      <c r="D99" s="1377"/>
      <c r="E99" s="844" t="s">
        <v>1274</v>
      </c>
      <c r="F99" s="855"/>
      <c r="G99" s="844" t="s">
        <v>906</v>
      </c>
      <c r="H99" s="1495">
        <v>2070232.81</v>
      </c>
      <c r="I99" s="870" t="s">
        <v>328</v>
      </c>
      <c r="J99" s="1378">
        <f t="shared" si="8"/>
        <v>2070232.81</v>
      </c>
      <c r="K99" s="278" t="str">
        <f t="shared" si="5"/>
        <v xml:space="preserve"> </v>
      </c>
      <c r="L99" s="278" t="str">
        <f t="shared" si="6"/>
        <v xml:space="preserve"> </v>
      </c>
      <c r="M99" s="1378" t="str">
        <f t="shared" si="7"/>
        <v xml:space="preserve"> </v>
      </c>
      <c r="N99" s="1378" t="str">
        <f t="shared" si="9"/>
        <v xml:space="preserve"> </v>
      </c>
    </row>
    <row r="100" spans="3:15">
      <c r="C100" s="844" t="s">
        <v>870</v>
      </c>
      <c r="D100" s="1377"/>
      <c r="E100" s="844" t="s">
        <v>1275</v>
      </c>
      <c r="F100" s="855"/>
      <c r="G100" s="844" t="s">
        <v>907</v>
      </c>
      <c r="H100" s="1495">
        <v>-2349387.1800000002</v>
      </c>
      <c r="I100" s="846" t="s">
        <v>328</v>
      </c>
      <c r="J100" s="1378">
        <f t="shared" si="8"/>
        <v>-2349387.1800000002</v>
      </c>
      <c r="K100" s="278" t="str">
        <f t="shared" si="5"/>
        <v xml:space="preserve"> </v>
      </c>
      <c r="L100" s="278" t="str">
        <f t="shared" si="6"/>
        <v xml:space="preserve"> </v>
      </c>
      <c r="M100" s="1378" t="str">
        <f t="shared" si="7"/>
        <v xml:space="preserve"> </v>
      </c>
      <c r="N100" s="1378" t="str">
        <f t="shared" si="9"/>
        <v xml:space="preserve"> </v>
      </c>
    </row>
    <row r="101" spans="3:15">
      <c r="C101" s="844" t="s">
        <v>870</v>
      </c>
      <c r="D101" s="1377"/>
      <c r="E101" s="844" t="s">
        <v>1276</v>
      </c>
      <c r="F101" s="855"/>
      <c r="G101" s="844" t="s">
        <v>908</v>
      </c>
      <c r="H101" s="1495">
        <v>-1623</v>
      </c>
      <c r="I101" s="846" t="s">
        <v>328</v>
      </c>
      <c r="J101" s="1378">
        <f t="shared" si="8"/>
        <v>-1623</v>
      </c>
      <c r="K101" s="278" t="str">
        <f t="shared" si="5"/>
        <v xml:space="preserve"> </v>
      </c>
      <c r="L101" s="278" t="str">
        <f t="shared" si="6"/>
        <v xml:space="preserve"> </v>
      </c>
      <c r="M101" s="1378" t="str">
        <f t="shared" si="7"/>
        <v xml:space="preserve"> </v>
      </c>
      <c r="N101" s="1378" t="str">
        <f t="shared" si="9"/>
        <v xml:space="preserve"> </v>
      </c>
    </row>
    <row r="102" spans="3:15">
      <c r="C102" s="844" t="s">
        <v>870</v>
      </c>
      <c r="D102" s="1377"/>
      <c r="E102" s="844" t="s">
        <v>1239</v>
      </c>
      <c r="F102" s="855"/>
      <c r="G102" s="844" t="s">
        <v>1615</v>
      </c>
      <c r="H102" s="1495">
        <v>1983568</v>
      </c>
      <c r="I102" s="846" t="s">
        <v>328</v>
      </c>
      <c r="J102" s="1378">
        <f t="shared" si="8"/>
        <v>1983568</v>
      </c>
      <c r="K102" s="278" t="str">
        <f t="shared" si="5"/>
        <v xml:space="preserve"> </v>
      </c>
      <c r="L102" s="278" t="str">
        <f t="shared" si="6"/>
        <v xml:space="preserve"> </v>
      </c>
      <c r="M102" s="1378" t="str">
        <f t="shared" si="7"/>
        <v xml:space="preserve"> </v>
      </c>
      <c r="N102" s="1378" t="str">
        <f t="shared" si="9"/>
        <v xml:space="preserve"> </v>
      </c>
    </row>
    <row r="103" spans="3:15">
      <c r="C103" s="844" t="s">
        <v>870</v>
      </c>
      <c r="D103" s="1377"/>
      <c r="E103" s="844" t="s">
        <v>1239</v>
      </c>
      <c r="F103" s="855"/>
      <c r="G103" s="844" t="s">
        <v>1616</v>
      </c>
      <c r="H103" s="1495">
        <v>990855</v>
      </c>
      <c r="I103" s="846" t="s">
        <v>328</v>
      </c>
      <c r="J103" s="1378">
        <f t="shared" si="8"/>
        <v>990855</v>
      </c>
      <c r="K103" s="278" t="str">
        <f t="shared" si="5"/>
        <v xml:space="preserve"> </v>
      </c>
      <c r="L103" s="278" t="str">
        <f t="shared" si="6"/>
        <v xml:space="preserve"> </v>
      </c>
      <c r="M103" s="1378" t="str">
        <f t="shared" si="7"/>
        <v xml:space="preserve"> </v>
      </c>
      <c r="N103" s="1378" t="str">
        <f t="shared" si="9"/>
        <v xml:space="preserve"> </v>
      </c>
    </row>
    <row r="104" spans="3:15">
      <c r="C104" s="844" t="s">
        <v>870</v>
      </c>
      <c r="D104" s="1377"/>
      <c r="E104" s="844" t="s">
        <v>1239</v>
      </c>
      <c r="F104" s="855"/>
      <c r="G104" s="844" t="s">
        <v>1617</v>
      </c>
      <c r="H104" s="1495">
        <v>3291898</v>
      </c>
      <c r="I104" s="846" t="s">
        <v>328</v>
      </c>
      <c r="J104" s="1378">
        <f t="shared" si="8"/>
        <v>3291898</v>
      </c>
      <c r="K104" s="278" t="str">
        <f t="shared" si="5"/>
        <v xml:space="preserve"> </v>
      </c>
      <c r="L104" s="278" t="str">
        <f t="shared" si="6"/>
        <v xml:space="preserve"> </v>
      </c>
      <c r="M104" s="1378" t="str">
        <f t="shared" si="7"/>
        <v xml:space="preserve"> </v>
      </c>
      <c r="N104" s="1378" t="str">
        <f t="shared" si="9"/>
        <v xml:space="preserve"> </v>
      </c>
    </row>
    <row r="105" spans="3:15">
      <c r="C105" s="844" t="s">
        <v>870</v>
      </c>
      <c r="D105" s="1377"/>
      <c r="E105" s="844" t="s">
        <v>1239</v>
      </c>
      <c r="F105" s="855"/>
      <c r="G105" s="844" t="s">
        <v>1618</v>
      </c>
      <c r="H105" s="1495">
        <v>2251000</v>
      </c>
      <c r="I105" s="846" t="s">
        <v>328</v>
      </c>
      <c r="J105" s="1378">
        <f t="shared" si="8"/>
        <v>2251000</v>
      </c>
      <c r="K105" s="278" t="str">
        <f t="shared" si="5"/>
        <v xml:space="preserve"> </v>
      </c>
      <c r="L105" s="278" t="str">
        <f t="shared" si="6"/>
        <v xml:space="preserve"> </v>
      </c>
      <c r="M105" s="1378" t="str">
        <f t="shared" si="7"/>
        <v xml:space="preserve"> </v>
      </c>
      <c r="N105" s="1378" t="str">
        <f t="shared" si="9"/>
        <v xml:space="preserve"> </v>
      </c>
    </row>
    <row r="106" spans="3:15">
      <c r="C106" s="844" t="s">
        <v>870</v>
      </c>
      <c r="D106" s="1377"/>
      <c r="E106" s="844"/>
      <c r="F106" s="855"/>
      <c r="G106" s="844" t="s">
        <v>1619</v>
      </c>
      <c r="H106" s="1495">
        <v>-2439851</v>
      </c>
      <c r="I106" s="846" t="s">
        <v>328</v>
      </c>
      <c r="J106" s="1378">
        <f t="shared" si="8"/>
        <v>-2439851</v>
      </c>
      <c r="K106" s="278" t="str">
        <f t="shared" si="5"/>
        <v xml:space="preserve"> </v>
      </c>
      <c r="L106" s="278" t="str">
        <f t="shared" si="6"/>
        <v xml:space="preserve"> </v>
      </c>
      <c r="M106" s="1378" t="str">
        <f t="shared" si="7"/>
        <v xml:space="preserve"> </v>
      </c>
      <c r="N106" s="1378" t="str">
        <f t="shared" si="9"/>
        <v xml:space="preserve"> </v>
      </c>
    </row>
    <row r="107" spans="3:15">
      <c r="C107" s="844"/>
      <c r="D107" s="1377"/>
      <c r="E107" s="844"/>
      <c r="F107" s="855"/>
      <c r="G107" s="844"/>
      <c r="H107" s="869"/>
      <c r="I107" s="846"/>
      <c r="J107" s="1378" t="str">
        <f t="shared" si="8"/>
        <v xml:space="preserve"> </v>
      </c>
      <c r="K107" s="278" t="str">
        <f t="shared" si="5"/>
        <v xml:space="preserve"> </v>
      </c>
      <c r="L107" s="278" t="str">
        <f t="shared" si="6"/>
        <v xml:space="preserve"> </v>
      </c>
      <c r="M107" s="1378" t="str">
        <f t="shared" si="7"/>
        <v xml:space="preserve"> </v>
      </c>
      <c r="N107" s="1378" t="str">
        <f t="shared" si="9"/>
        <v xml:space="preserve"> </v>
      </c>
    </row>
    <row r="108" spans="3:15">
      <c r="C108" s="866">
        <v>2831002</v>
      </c>
      <c r="D108" s="865" t="s">
        <v>375</v>
      </c>
      <c r="E108" s="844" t="s">
        <v>1277</v>
      </c>
      <c r="F108" s="844"/>
      <c r="G108" s="844" t="s">
        <v>1278</v>
      </c>
      <c r="H108" s="1495">
        <v>0</v>
      </c>
      <c r="I108" s="870" t="s">
        <v>184</v>
      </c>
      <c r="J108" s="1378" t="str">
        <f t="shared" si="8"/>
        <v xml:space="preserve"> </v>
      </c>
      <c r="K108" s="278" t="str">
        <f t="shared" si="5"/>
        <v xml:space="preserve"> </v>
      </c>
      <c r="L108" s="278">
        <f t="shared" si="6"/>
        <v>0</v>
      </c>
      <c r="M108" s="1378" t="str">
        <f t="shared" si="7"/>
        <v xml:space="preserve"> </v>
      </c>
      <c r="N108" s="1378" t="str">
        <f t="shared" si="9"/>
        <v xml:space="preserve"> </v>
      </c>
    </row>
    <row r="109" spans="3:15">
      <c r="C109" s="844"/>
      <c r="D109" s="1377"/>
      <c r="E109" s="844"/>
      <c r="F109" s="855"/>
      <c r="G109" s="844"/>
      <c r="H109" s="869"/>
      <c r="I109" s="846"/>
      <c r="J109" s="1378" t="str">
        <f>IF(I109="e",H109," ")</f>
        <v xml:space="preserve"> </v>
      </c>
      <c r="K109" s="278" t="str">
        <f t="shared" si="5"/>
        <v xml:space="preserve"> </v>
      </c>
      <c r="L109" s="278" t="str">
        <f t="shared" si="6"/>
        <v xml:space="preserve"> </v>
      </c>
      <c r="M109" s="1378" t="str">
        <f t="shared" si="7"/>
        <v xml:space="preserve"> </v>
      </c>
      <c r="N109" s="1378" t="str">
        <f>IF(I109="Labor",H109," ")</f>
        <v xml:space="preserve"> </v>
      </c>
    </row>
    <row r="110" spans="3:15">
      <c r="C110" s="866"/>
      <c r="D110" s="865"/>
      <c r="E110" s="844"/>
      <c r="F110" s="844"/>
      <c r="G110" s="844" t="s">
        <v>1465</v>
      </c>
      <c r="H110" s="869">
        <v>0</v>
      </c>
      <c r="I110" s="870"/>
      <c r="J110" s="869"/>
      <c r="K110" s="869"/>
      <c r="L110" s="869"/>
      <c r="M110" s="869"/>
      <c r="N110" s="869"/>
    </row>
    <row r="111" spans="3:15">
      <c r="D111" s="38"/>
      <c r="H111" s="278"/>
      <c r="I111" s="278"/>
      <c r="J111" s="1122" t="str">
        <f>IF(I111="e",H111," ")</f>
        <v xml:space="preserve"> </v>
      </c>
      <c r="K111" s="1122"/>
      <c r="L111" s="1122" t="str">
        <f>IF($I111="PTD",$H111," ")</f>
        <v xml:space="preserve"> </v>
      </c>
      <c r="M111" s="1122" t="str">
        <f>IF($I111="T&amp;D",$H111," ")</f>
        <v xml:space="preserve"> </v>
      </c>
      <c r="N111" s="1122" t="str">
        <f>IF(I111="Labor",H111," ")</f>
        <v xml:space="preserve"> </v>
      </c>
    </row>
    <row r="112" spans="3:15">
      <c r="C112" s="706">
        <v>283.10000000000002</v>
      </c>
      <c r="D112" s="38"/>
      <c r="G112" s="194" t="s">
        <v>185</v>
      </c>
      <c r="H112" s="677">
        <f>SUM(H54:H111)</f>
        <v>-34869314.669999987</v>
      </c>
      <c r="I112" s="278"/>
      <c r="J112" s="1123">
        <f>SUM(J54:J111)</f>
        <v>-18010617.550000001</v>
      </c>
      <c r="K112" s="1123">
        <f>SUM(K54:K111)</f>
        <v>0</v>
      </c>
      <c r="L112" s="1123">
        <f>SUM(L54:L111)</f>
        <v>-890194.42</v>
      </c>
      <c r="M112" s="1123">
        <f>SUM(M54:M111)</f>
        <v>0</v>
      </c>
      <c r="N112" s="1123">
        <f>SUM(N54:N111)</f>
        <v>-15968502.700000001</v>
      </c>
      <c r="O112" s="1117"/>
    </row>
    <row r="113" spans="3:14">
      <c r="C113" s="672"/>
      <c r="D113" s="38"/>
      <c r="G113" s="729" t="s">
        <v>130</v>
      </c>
      <c r="H113" s="1380"/>
      <c r="I113" s="675"/>
      <c r="J113" s="678"/>
      <c r="K113" s="678"/>
      <c r="L113" s="678"/>
      <c r="M113" s="678"/>
      <c r="N113" s="678"/>
    </row>
    <row r="114" spans="3:14">
      <c r="C114" s="672"/>
      <c r="D114" s="38"/>
      <c r="G114" s="729"/>
      <c r="H114" s="1122"/>
      <c r="I114" s="675"/>
      <c r="J114" s="678"/>
      <c r="K114" s="678"/>
      <c r="L114" s="678"/>
      <c r="M114" s="678"/>
      <c r="N114" s="678"/>
    </row>
    <row r="115" spans="3:14">
      <c r="G115" s="268"/>
      <c r="H115" s="1122"/>
      <c r="I115" s="278"/>
      <c r="J115" s="278"/>
      <c r="K115" s="278"/>
      <c r="L115" s="278"/>
      <c r="M115" s="278"/>
      <c r="N115" s="278"/>
    </row>
    <row r="116" spans="3:14">
      <c r="H116" s="1122"/>
      <c r="I116" s="278"/>
      <c r="J116" s="278"/>
      <c r="K116" s="278"/>
      <c r="L116" s="278"/>
      <c r="M116" s="278"/>
      <c r="N116" s="278"/>
    </row>
    <row r="117" spans="3:14">
      <c r="C117" s="844" t="s">
        <v>909</v>
      </c>
      <c r="D117" s="1377" t="s">
        <v>375</v>
      </c>
      <c r="E117" s="844" t="s">
        <v>1533</v>
      </c>
      <c r="F117" s="844"/>
      <c r="G117" s="844" t="s">
        <v>911</v>
      </c>
      <c r="H117" s="1495">
        <v>-898797</v>
      </c>
      <c r="I117" s="846" t="s">
        <v>328</v>
      </c>
      <c r="J117" s="1378">
        <f>IF(I117="e",H117," ")</f>
        <v>-898797</v>
      </c>
      <c r="K117" s="278" t="str">
        <f>IF($I117="T",$H117," ")</f>
        <v xml:space="preserve"> </v>
      </c>
      <c r="L117" s="278" t="str">
        <f>IF($I117="PTD",$H117," ")</f>
        <v xml:space="preserve"> </v>
      </c>
      <c r="M117" s="1378" t="str">
        <f>IF($I117="T&amp;D",$H117," ")</f>
        <v xml:space="preserve"> </v>
      </c>
      <c r="N117" s="1378" t="str">
        <f>IF(I117="Labor",H117," ")</f>
        <v xml:space="preserve"> </v>
      </c>
    </row>
    <row r="118" spans="3:14">
      <c r="C118" s="844" t="s">
        <v>909</v>
      </c>
      <c r="D118" s="1377" t="s">
        <v>375</v>
      </c>
      <c r="E118" s="844" t="s">
        <v>1534</v>
      </c>
      <c r="F118" s="844"/>
      <c r="G118" s="844" t="s">
        <v>912</v>
      </c>
      <c r="H118" s="1495">
        <v>898797</v>
      </c>
      <c r="I118" s="846" t="s">
        <v>328</v>
      </c>
      <c r="J118" s="1378">
        <f t="shared" ref="J118:J181" si="10">IF(I118="e",H118," ")</f>
        <v>898797</v>
      </c>
      <c r="K118" s="278" t="str">
        <f t="shared" ref="K118:K181" si="11">IF($I118="T",$H118," ")</f>
        <v xml:space="preserve"> </v>
      </c>
      <c r="L118" s="278" t="str">
        <f t="shared" ref="L118:L181" si="12">IF($I118="PTD",$H118," ")</f>
        <v xml:space="preserve"> </v>
      </c>
      <c r="M118" s="1378" t="str">
        <f t="shared" ref="M118:M181" si="13">IF($I118="T&amp;D",$H118," ")</f>
        <v xml:space="preserve"> </v>
      </c>
      <c r="N118" s="1378" t="str">
        <f t="shared" ref="N118:N181" si="14">IF(I118="Labor",H118," ")</f>
        <v xml:space="preserve"> </v>
      </c>
    </row>
    <row r="119" spans="3:14">
      <c r="C119" s="844" t="s">
        <v>909</v>
      </c>
      <c r="D119" s="1377" t="s">
        <v>375</v>
      </c>
      <c r="E119" s="844" t="s">
        <v>913</v>
      </c>
      <c r="F119" s="844"/>
      <c r="G119" s="844" t="s">
        <v>914</v>
      </c>
      <c r="H119" s="1495">
        <v>0.03</v>
      </c>
      <c r="I119" s="846" t="s">
        <v>328</v>
      </c>
      <c r="J119" s="1378">
        <f t="shared" si="10"/>
        <v>0.03</v>
      </c>
      <c r="K119" s="278" t="str">
        <f t="shared" si="11"/>
        <v xml:space="preserve"> </v>
      </c>
      <c r="L119" s="278" t="str">
        <f t="shared" si="12"/>
        <v xml:space="preserve"> </v>
      </c>
      <c r="M119" s="1378" t="str">
        <f t="shared" si="13"/>
        <v xml:space="preserve"> </v>
      </c>
      <c r="N119" s="1378" t="str">
        <f t="shared" si="14"/>
        <v xml:space="preserve"> </v>
      </c>
    </row>
    <row r="120" spans="3:14">
      <c r="C120" s="844" t="s">
        <v>909</v>
      </c>
      <c r="D120" s="1377" t="s">
        <v>375</v>
      </c>
      <c r="E120" s="844" t="s">
        <v>915</v>
      </c>
      <c r="F120" s="844"/>
      <c r="G120" s="844" t="s">
        <v>916</v>
      </c>
      <c r="H120" s="1495">
        <v>-0.33</v>
      </c>
      <c r="I120" s="846" t="s">
        <v>328</v>
      </c>
      <c r="J120" s="1378">
        <f t="shared" si="10"/>
        <v>-0.33</v>
      </c>
      <c r="K120" s="278" t="str">
        <f t="shared" si="11"/>
        <v xml:space="preserve"> </v>
      </c>
      <c r="L120" s="278" t="str">
        <f t="shared" si="12"/>
        <v xml:space="preserve"> </v>
      </c>
      <c r="M120" s="1378" t="str">
        <f t="shared" si="13"/>
        <v xml:space="preserve"> </v>
      </c>
      <c r="N120" s="1378" t="str">
        <f t="shared" si="14"/>
        <v xml:space="preserve"> </v>
      </c>
    </row>
    <row r="121" spans="3:14">
      <c r="C121" s="844" t="s">
        <v>909</v>
      </c>
      <c r="D121" s="1377" t="s">
        <v>375</v>
      </c>
      <c r="E121" s="844" t="s">
        <v>917</v>
      </c>
      <c r="F121" s="844"/>
      <c r="G121" s="844" t="s">
        <v>918</v>
      </c>
      <c r="H121" s="1495">
        <v>-2852824.39</v>
      </c>
      <c r="I121" s="846" t="s">
        <v>328</v>
      </c>
      <c r="J121" s="1378">
        <f t="shared" si="10"/>
        <v>-2852824.39</v>
      </c>
      <c r="K121" s="278" t="str">
        <f t="shared" si="11"/>
        <v xml:space="preserve"> </v>
      </c>
      <c r="L121" s="278" t="str">
        <f t="shared" si="12"/>
        <v xml:space="preserve"> </v>
      </c>
      <c r="M121" s="1378" t="str">
        <f t="shared" si="13"/>
        <v xml:space="preserve"> </v>
      </c>
      <c r="N121" s="1378" t="str">
        <f t="shared" si="14"/>
        <v xml:space="preserve"> </v>
      </c>
    </row>
    <row r="122" spans="3:14">
      <c r="C122" s="844" t="s">
        <v>909</v>
      </c>
      <c r="D122" s="1377" t="s">
        <v>375</v>
      </c>
      <c r="E122" s="844" t="s">
        <v>919</v>
      </c>
      <c r="F122" s="844"/>
      <c r="G122" s="844" t="s">
        <v>920</v>
      </c>
      <c r="H122" s="1495">
        <v>-0.01</v>
      </c>
      <c r="I122" s="846" t="s">
        <v>328</v>
      </c>
      <c r="J122" s="1378">
        <f t="shared" si="10"/>
        <v>-0.01</v>
      </c>
      <c r="K122" s="278" t="str">
        <f t="shared" si="11"/>
        <v xml:space="preserve"> </v>
      </c>
      <c r="L122" s="278" t="str">
        <f t="shared" si="12"/>
        <v xml:space="preserve"> </v>
      </c>
      <c r="M122" s="1378" t="str">
        <f t="shared" si="13"/>
        <v xml:space="preserve"> </v>
      </c>
      <c r="N122" s="1378" t="str">
        <f t="shared" si="14"/>
        <v xml:space="preserve"> </v>
      </c>
    </row>
    <row r="123" spans="3:14">
      <c r="C123" s="844" t="s">
        <v>909</v>
      </c>
      <c r="D123" s="1377" t="s">
        <v>375</v>
      </c>
      <c r="E123" s="844" t="s">
        <v>921</v>
      </c>
      <c r="F123" s="844"/>
      <c r="G123" s="844" t="s">
        <v>922</v>
      </c>
      <c r="H123" s="1495">
        <v>4646288.74</v>
      </c>
      <c r="I123" s="846" t="s">
        <v>328</v>
      </c>
      <c r="J123" s="1378">
        <f t="shared" si="10"/>
        <v>4646288.74</v>
      </c>
      <c r="K123" s="278" t="str">
        <f t="shared" si="11"/>
        <v xml:space="preserve"> </v>
      </c>
      <c r="L123" s="278" t="str">
        <f t="shared" si="12"/>
        <v xml:space="preserve"> </v>
      </c>
      <c r="M123" s="1378" t="str">
        <f t="shared" si="13"/>
        <v xml:space="preserve"> </v>
      </c>
      <c r="N123" s="1378" t="str">
        <f t="shared" si="14"/>
        <v xml:space="preserve"> </v>
      </c>
    </row>
    <row r="124" spans="3:14">
      <c r="C124" s="844" t="s">
        <v>909</v>
      </c>
      <c r="D124" s="1377" t="s">
        <v>375</v>
      </c>
      <c r="E124" s="844" t="s">
        <v>923</v>
      </c>
      <c r="F124" s="844"/>
      <c r="G124" s="844" t="s">
        <v>924</v>
      </c>
      <c r="H124" s="1495">
        <v>3450425.1</v>
      </c>
      <c r="I124" s="846" t="s">
        <v>184</v>
      </c>
      <c r="J124" s="1378" t="str">
        <f t="shared" si="10"/>
        <v xml:space="preserve"> </v>
      </c>
      <c r="K124" s="278" t="str">
        <f t="shared" si="11"/>
        <v xml:space="preserve"> </v>
      </c>
      <c r="L124" s="278">
        <f t="shared" si="12"/>
        <v>3450425.1</v>
      </c>
      <c r="M124" s="1378" t="str">
        <f t="shared" si="13"/>
        <v xml:space="preserve"> </v>
      </c>
      <c r="N124" s="1378" t="str">
        <f t="shared" si="14"/>
        <v xml:space="preserve"> </v>
      </c>
    </row>
    <row r="125" spans="3:14">
      <c r="C125" s="844" t="s">
        <v>909</v>
      </c>
      <c r="D125" s="1377"/>
      <c r="E125" s="844" t="s">
        <v>1542</v>
      </c>
      <c r="F125" s="844"/>
      <c r="G125" s="844" t="s">
        <v>1581</v>
      </c>
      <c r="H125" s="1495">
        <v>6906490.3899999997</v>
      </c>
      <c r="I125" s="846" t="s">
        <v>328</v>
      </c>
      <c r="J125" s="1378">
        <f t="shared" si="10"/>
        <v>6906490.3899999997</v>
      </c>
      <c r="K125" s="278" t="str">
        <f t="shared" si="11"/>
        <v xml:space="preserve"> </v>
      </c>
      <c r="L125" s="278" t="str">
        <f t="shared" si="12"/>
        <v xml:space="preserve"> </v>
      </c>
      <c r="M125" s="1378" t="str">
        <f t="shared" si="13"/>
        <v xml:space="preserve"> </v>
      </c>
      <c r="N125" s="1378" t="str">
        <f t="shared" si="14"/>
        <v xml:space="preserve"> </v>
      </c>
    </row>
    <row r="126" spans="3:14">
      <c r="C126" s="844" t="s">
        <v>909</v>
      </c>
      <c r="D126" s="1377"/>
      <c r="E126" s="844" t="s">
        <v>1543</v>
      </c>
      <c r="F126" s="844"/>
      <c r="G126" s="844" t="s">
        <v>1582</v>
      </c>
      <c r="H126" s="1495">
        <v>1894534.01</v>
      </c>
      <c r="I126" s="846" t="s">
        <v>328</v>
      </c>
      <c r="J126" s="1378">
        <f t="shared" si="10"/>
        <v>1894534.01</v>
      </c>
      <c r="K126" s="278" t="str">
        <f t="shared" si="11"/>
        <v xml:space="preserve"> </v>
      </c>
      <c r="L126" s="278" t="str">
        <f t="shared" si="12"/>
        <v xml:space="preserve"> </v>
      </c>
      <c r="M126" s="1378" t="str">
        <f t="shared" si="13"/>
        <v xml:space="preserve"> </v>
      </c>
      <c r="N126" s="1378" t="str">
        <f t="shared" si="14"/>
        <v xml:space="preserve"> </v>
      </c>
    </row>
    <row r="127" spans="3:14">
      <c r="C127" s="844" t="s">
        <v>909</v>
      </c>
      <c r="D127" s="1377" t="s">
        <v>375</v>
      </c>
      <c r="E127" s="844" t="s">
        <v>925</v>
      </c>
      <c r="F127" s="844"/>
      <c r="G127" s="844" t="s">
        <v>926</v>
      </c>
      <c r="H127" s="1495">
        <v>-37375.589999999997</v>
      </c>
      <c r="I127" s="846" t="s">
        <v>328</v>
      </c>
      <c r="J127" s="1378">
        <f t="shared" si="10"/>
        <v>-37375.589999999997</v>
      </c>
      <c r="K127" s="278" t="str">
        <f t="shared" si="11"/>
        <v xml:space="preserve"> </v>
      </c>
      <c r="L127" s="278" t="str">
        <f t="shared" si="12"/>
        <v xml:space="preserve"> </v>
      </c>
      <c r="M127" s="1378" t="str">
        <f t="shared" si="13"/>
        <v xml:space="preserve"> </v>
      </c>
      <c r="N127" s="1378" t="str">
        <f t="shared" si="14"/>
        <v xml:space="preserve"> </v>
      </c>
    </row>
    <row r="128" spans="3:14">
      <c r="C128" s="844" t="s">
        <v>909</v>
      </c>
      <c r="D128" s="1377" t="s">
        <v>375</v>
      </c>
      <c r="E128" s="844" t="s">
        <v>927</v>
      </c>
      <c r="F128" s="844"/>
      <c r="G128" s="844" t="s">
        <v>928</v>
      </c>
      <c r="H128" s="1495">
        <v>162755.03</v>
      </c>
      <c r="I128" s="846" t="s">
        <v>337</v>
      </c>
      <c r="J128" s="1378" t="str">
        <f t="shared" si="10"/>
        <v xml:space="preserve"> </v>
      </c>
      <c r="K128" s="278" t="str">
        <f t="shared" si="11"/>
        <v xml:space="preserve"> </v>
      </c>
      <c r="L128" s="278" t="str">
        <f t="shared" si="12"/>
        <v xml:space="preserve"> </v>
      </c>
      <c r="M128" s="1378" t="str">
        <f t="shared" si="13"/>
        <v xml:space="preserve"> </v>
      </c>
      <c r="N128" s="1378">
        <f t="shared" si="14"/>
        <v>162755.03</v>
      </c>
    </row>
    <row r="129" spans="3:14">
      <c r="C129" s="844" t="s">
        <v>909</v>
      </c>
      <c r="D129" s="1377" t="s">
        <v>375</v>
      </c>
      <c r="E129" s="844" t="s">
        <v>929</v>
      </c>
      <c r="F129" s="844"/>
      <c r="G129" s="844" t="s">
        <v>930</v>
      </c>
      <c r="H129" s="1495">
        <v>238226.94</v>
      </c>
      <c r="I129" s="846" t="s">
        <v>337</v>
      </c>
      <c r="J129" s="1378" t="str">
        <f t="shared" si="10"/>
        <v xml:space="preserve"> </v>
      </c>
      <c r="K129" s="278" t="str">
        <f t="shared" si="11"/>
        <v xml:space="preserve"> </v>
      </c>
      <c r="L129" s="278" t="str">
        <f t="shared" si="12"/>
        <v xml:space="preserve"> </v>
      </c>
      <c r="M129" s="1378" t="str">
        <f t="shared" si="13"/>
        <v xml:space="preserve"> </v>
      </c>
      <c r="N129" s="1378">
        <f t="shared" si="14"/>
        <v>238226.94</v>
      </c>
    </row>
    <row r="130" spans="3:14">
      <c r="C130" s="844" t="s">
        <v>909</v>
      </c>
      <c r="D130" s="1377" t="s">
        <v>375</v>
      </c>
      <c r="E130" s="844" t="s">
        <v>931</v>
      </c>
      <c r="F130" s="844"/>
      <c r="G130" s="844" t="s">
        <v>932</v>
      </c>
      <c r="H130" s="1495">
        <v>228228.36</v>
      </c>
      <c r="I130" s="846" t="s">
        <v>328</v>
      </c>
      <c r="J130" s="1378">
        <f t="shared" si="10"/>
        <v>228228.36</v>
      </c>
      <c r="K130" s="278" t="str">
        <f t="shared" si="11"/>
        <v xml:space="preserve"> </v>
      </c>
      <c r="L130" s="278" t="str">
        <f t="shared" si="12"/>
        <v xml:space="preserve"> </v>
      </c>
      <c r="M130" s="1378" t="str">
        <f t="shared" si="13"/>
        <v xml:space="preserve"> </v>
      </c>
      <c r="N130" s="1378" t="str">
        <f t="shared" si="14"/>
        <v xml:space="preserve"> </v>
      </c>
    </row>
    <row r="131" spans="3:14">
      <c r="C131" s="844" t="s">
        <v>909</v>
      </c>
      <c r="D131" s="1377" t="s">
        <v>375</v>
      </c>
      <c r="E131" s="844" t="s">
        <v>933</v>
      </c>
      <c r="F131" s="844"/>
      <c r="G131" s="844" t="s">
        <v>934</v>
      </c>
      <c r="H131" s="1495">
        <v>225583.41</v>
      </c>
      <c r="I131" s="846" t="s">
        <v>337</v>
      </c>
      <c r="J131" s="1378" t="str">
        <f t="shared" si="10"/>
        <v xml:space="preserve"> </v>
      </c>
      <c r="K131" s="278" t="str">
        <f t="shared" si="11"/>
        <v xml:space="preserve"> </v>
      </c>
      <c r="L131" s="278" t="str">
        <f t="shared" si="12"/>
        <v xml:space="preserve"> </v>
      </c>
      <c r="M131" s="1378" t="str">
        <f t="shared" si="13"/>
        <v xml:space="preserve"> </v>
      </c>
      <c r="N131" s="1378">
        <f t="shared" si="14"/>
        <v>225583.41</v>
      </c>
    </row>
    <row r="132" spans="3:14">
      <c r="C132" s="844" t="s">
        <v>909</v>
      </c>
      <c r="D132" s="1377" t="s">
        <v>375</v>
      </c>
      <c r="E132" s="844" t="s">
        <v>935</v>
      </c>
      <c r="F132" s="844"/>
      <c r="G132" s="844" t="s">
        <v>936</v>
      </c>
      <c r="H132" s="1495">
        <v>0.01</v>
      </c>
      <c r="I132" s="846" t="s">
        <v>328</v>
      </c>
      <c r="J132" s="1378">
        <f t="shared" si="10"/>
        <v>0.01</v>
      </c>
      <c r="K132" s="278" t="str">
        <f t="shared" si="11"/>
        <v xml:space="preserve"> </v>
      </c>
      <c r="L132" s="278" t="str">
        <f t="shared" si="12"/>
        <v xml:space="preserve"> </v>
      </c>
      <c r="M132" s="1378" t="str">
        <f t="shared" si="13"/>
        <v xml:space="preserve"> </v>
      </c>
      <c r="N132" s="1378" t="str">
        <f t="shared" si="14"/>
        <v xml:space="preserve"> </v>
      </c>
    </row>
    <row r="133" spans="3:14">
      <c r="C133" s="844" t="s">
        <v>909</v>
      </c>
      <c r="D133" s="1377" t="s">
        <v>375</v>
      </c>
      <c r="E133" s="844" t="s">
        <v>937</v>
      </c>
      <c r="F133" s="844"/>
      <c r="G133" s="844" t="s">
        <v>938</v>
      </c>
      <c r="H133" s="1495">
        <v>15205</v>
      </c>
      <c r="I133" s="846" t="s">
        <v>337</v>
      </c>
      <c r="J133" s="1378" t="str">
        <f t="shared" si="10"/>
        <v xml:space="preserve"> </v>
      </c>
      <c r="K133" s="278" t="str">
        <f t="shared" si="11"/>
        <v xml:space="preserve"> </v>
      </c>
      <c r="L133" s="278" t="str">
        <f t="shared" si="12"/>
        <v xml:space="preserve"> </v>
      </c>
      <c r="M133" s="1378" t="str">
        <f t="shared" si="13"/>
        <v xml:space="preserve"> </v>
      </c>
      <c r="N133" s="1378">
        <f t="shared" si="14"/>
        <v>15205</v>
      </c>
    </row>
    <row r="134" spans="3:14">
      <c r="C134" s="844" t="s">
        <v>909</v>
      </c>
      <c r="D134" s="1377" t="s">
        <v>375</v>
      </c>
      <c r="E134" s="844" t="s">
        <v>939</v>
      </c>
      <c r="F134" s="844"/>
      <c r="G134" s="844" t="s">
        <v>940</v>
      </c>
      <c r="H134" s="1495">
        <v>305607.03999999998</v>
      </c>
      <c r="I134" s="846" t="s">
        <v>337</v>
      </c>
      <c r="J134" s="1378" t="str">
        <f t="shared" si="10"/>
        <v xml:space="preserve"> </v>
      </c>
      <c r="K134" s="278" t="str">
        <f t="shared" si="11"/>
        <v xml:space="preserve"> </v>
      </c>
      <c r="L134" s="278" t="str">
        <f t="shared" si="12"/>
        <v xml:space="preserve"> </v>
      </c>
      <c r="M134" s="1378" t="str">
        <f t="shared" si="13"/>
        <v xml:space="preserve"> </v>
      </c>
      <c r="N134" s="1378">
        <f t="shared" si="14"/>
        <v>305607.03999999998</v>
      </c>
    </row>
    <row r="135" spans="3:14">
      <c r="C135" s="844" t="s">
        <v>909</v>
      </c>
      <c r="D135" s="1377"/>
      <c r="E135" s="844" t="s">
        <v>1505</v>
      </c>
      <c r="F135" s="844"/>
      <c r="G135" s="844" t="s">
        <v>1506</v>
      </c>
      <c r="H135" s="1495">
        <v>673766.59</v>
      </c>
      <c r="I135" s="846" t="s">
        <v>337</v>
      </c>
      <c r="J135" s="1378" t="str">
        <f t="shared" si="10"/>
        <v xml:space="preserve"> </v>
      </c>
      <c r="K135" s="278" t="str">
        <f t="shared" si="11"/>
        <v xml:space="preserve"> </v>
      </c>
      <c r="L135" s="278" t="str">
        <f t="shared" si="12"/>
        <v xml:space="preserve"> </v>
      </c>
      <c r="M135" s="1378" t="str">
        <f t="shared" si="13"/>
        <v xml:space="preserve"> </v>
      </c>
      <c r="N135" s="1378">
        <f t="shared" si="14"/>
        <v>673766.59</v>
      </c>
    </row>
    <row r="136" spans="3:14">
      <c r="C136" s="844" t="s">
        <v>909</v>
      </c>
      <c r="D136" s="1377" t="s">
        <v>375</v>
      </c>
      <c r="E136" s="844" t="s">
        <v>941</v>
      </c>
      <c r="F136" s="844"/>
      <c r="G136" s="844" t="s">
        <v>942</v>
      </c>
      <c r="H136" s="1495">
        <v>181254.63</v>
      </c>
      <c r="I136" s="846" t="s">
        <v>328</v>
      </c>
      <c r="J136" s="1378">
        <f t="shared" si="10"/>
        <v>181254.63</v>
      </c>
      <c r="K136" s="278" t="str">
        <f t="shared" si="11"/>
        <v xml:space="preserve"> </v>
      </c>
      <c r="L136" s="278" t="str">
        <f t="shared" si="12"/>
        <v xml:space="preserve"> </v>
      </c>
      <c r="M136" s="1378" t="str">
        <f t="shared" si="13"/>
        <v xml:space="preserve"> </v>
      </c>
      <c r="N136" s="1378" t="str">
        <f t="shared" si="14"/>
        <v xml:space="preserve"> </v>
      </c>
    </row>
    <row r="137" spans="3:14">
      <c r="C137" s="844" t="s">
        <v>909</v>
      </c>
      <c r="D137" s="1377" t="s">
        <v>375</v>
      </c>
      <c r="E137" s="844" t="s">
        <v>943</v>
      </c>
      <c r="F137" s="844"/>
      <c r="G137" s="844" t="s">
        <v>944</v>
      </c>
      <c r="H137" s="1495">
        <v>35.28</v>
      </c>
      <c r="I137" s="846" t="s">
        <v>328</v>
      </c>
      <c r="J137" s="1378">
        <f t="shared" si="10"/>
        <v>35.28</v>
      </c>
      <c r="K137" s="278" t="str">
        <f t="shared" si="11"/>
        <v xml:space="preserve"> </v>
      </c>
      <c r="L137" s="278" t="str">
        <f t="shared" si="12"/>
        <v xml:space="preserve"> </v>
      </c>
      <c r="M137" s="1378" t="str">
        <f t="shared" si="13"/>
        <v xml:space="preserve"> </v>
      </c>
      <c r="N137" s="1378" t="str">
        <f t="shared" si="14"/>
        <v xml:space="preserve"> </v>
      </c>
    </row>
    <row r="138" spans="3:14">
      <c r="C138" s="844" t="s">
        <v>909</v>
      </c>
      <c r="D138" s="1377" t="s">
        <v>375</v>
      </c>
      <c r="E138" s="844" t="s">
        <v>945</v>
      </c>
      <c r="F138" s="844"/>
      <c r="G138" s="844" t="s">
        <v>946</v>
      </c>
      <c r="H138" s="1495">
        <v>-3179.19</v>
      </c>
      <c r="I138" s="846" t="s">
        <v>328</v>
      </c>
      <c r="J138" s="1378">
        <f t="shared" si="10"/>
        <v>-3179.19</v>
      </c>
      <c r="K138" s="278" t="str">
        <f t="shared" si="11"/>
        <v xml:space="preserve"> </v>
      </c>
      <c r="L138" s="278" t="str">
        <f t="shared" si="12"/>
        <v xml:space="preserve"> </v>
      </c>
      <c r="M138" s="1378" t="str">
        <f t="shared" si="13"/>
        <v xml:space="preserve"> </v>
      </c>
      <c r="N138" s="1378" t="str">
        <f t="shared" si="14"/>
        <v xml:space="preserve"> </v>
      </c>
    </row>
    <row r="139" spans="3:14">
      <c r="C139" s="844" t="s">
        <v>909</v>
      </c>
      <c r="D139" s="1377" t="s">
        <v>375</v>
      </c>
      <c r="E139" s="844" t="s">
        <v>947</v>
      </c>
      <c r="F139" s="844"/>
      <c r="G139" s="844" t="s">
        <v>948</v>
      </c>
      <c r="H139" s="1495">
        <v>7343972.5499999998</v>
      </c>
      <c r="I139" s="846" t="s">
        <v>328</v>
      </c>
      <c r="J139" s="1378">
        <f t="shared" si="10"/>
        <v>7343972.5499999998</v>
      </c>
      <c r="K139" s="278" t="str">
        <f t="shared" si="11"/>
        <v xml:space="preserve"> </v>
      </c>
      <c r="L139" s="278" t="str">
        <f t="shared" si="12"/>
        <v xml:space="preserve"> </v>
      </c>
      <c r="M139" s="1378" t="str">
        <f t="shared" si="13"/>
        <v xml:space="preserve"> </v>
      </c>
      <c r="N139" s="1378" t="str">
        <f t="shared" si="14"/>
        <v xml:space="preserve"> </v>
      </c>
    </row>
    <row r="140" spans="3:14">
      <c r="C140" s="844" t="s">
        <v>909</v>
      </c>
      <c r="D140" s="1377" t="s">
        <v>375</v>
      </c>
      <c r="E140" s="844" t="s">
        <v>949</v>
      </c>
      <c r="F140" s="844"/>
      <c r="G140" s="844" t="s">
        <v>950</v>
      </c>
      <c r="H140" s="1495">
        <v>355964.91</v>
      </c>
      <c r="I140" s="846" t="s">
        <v>337</v>
      </c>
      <c r="J140" s="1378" t="str">
        <f t="shared" si="10"/>
        <v xml:space="preserve"> </v>
      </c>
      <c r="K140" s="278" t="str">
        <f t="shared" si="11"/>
        <v xml:space="preserve"> </v>
      </c>
      <c r="L140" s="278" t="str">
        <f t="shared" si="12"/>
        <v xml:space="preserve"> </v>
      </c>
      <c r="M140" s="1378" t="str">
        <f t="shared" si="13"/>
        <v xml:space="preserve"> </v>
      </c>
      <c r="N140" s="1378">
        <f t="shared" si="14"/>
        <v>355964.91</v>
      </c>
    </row>
    <row r="141" spans="3:14">
      <c r="C141" s="844" t="s">
        <v>909</v>
      </c>
      <c r="D141" s="1377" t="s">
        <v>375</v>
      </c>
      <c r="E141" s="844" t="s">
        <v>951</v>
      </c>
      <c r="F141" s="844"/>
      <c r="G141" s="844" t="s">
        <v>952</v>
      </c>
      <c r="H141" s="1495">
        <v>2163953.71</v>
      </c>
      <c r="I141" s="846" t="s">
        <v>337</v>
      </c>
      <c r="J141" s="1378" t="str">
        <f t="shared" si="10"/>
        <v xml:space="preserve"> </v>
      </c>
      <c r="K141" s="278" t="str">
        <f t="shared" si="11"/>
        <v xml:space="preserve"> </v>
      </c>
      <c r="L141" s="278" t="str">
        <f t="shared" si="12"/>
        <v xml:space="preserve"> </v>
      </c>
      <c r="M141" s="1378" t="str">
        <f t="shared" si="13"/>
        <v xml:space="preserve"> </v>
      </c>
      <c r="N141" s="1378">
        <f t="shared" si="14"/>
        <v>2163953.71</v>
      </c>
    </row>
    <row r="142" spans="3:14">
      <c r="C142" s="844" t="s">
        <v>909</v>
      </c>
      <c r="D142" s="1377" t="s">
        <v>375</v>
      </c>
      <c r="E142" s="844" t="s">
        <v>953</v>
      </c>
      <c r="F142" s="844"/>
      <c r="G142" s="844" t="s">
        <v>954</v>
      </c>
      <c r="H142" s="1495">
        <v>5336.12</v>
      </c>
      <c r="I142" s="846" t="s">
        <v>184</v>
      </c>
      <c r="J142" s="1378" t="str">
        <f t="shared" si="10"/>
        <v xml:space="preserve"> </v>
      </c>
      <c r="K142" s="278" t="str">
        <f t="shared" si="11"/>
        <v xml:space="preserve"> </v>
      </c>
      <c r="L142" s="278">
        <f t="shared" si="12"/>
        <v>5336.12</v>
      </c>
      <c r="M142" s="1378" t="str">
        <f t="shared" si="13"/>
        <v xml:space="preserve"> </v>
      </c>
      <c r="N142" s="1378" t="str">
        <f t="shared" si="14"/>
        <v xml:space="preserve"> </v>
      </c>
    </row>
    <row r="143" spans="3:14">
      <c r="C143" s="844" t="s">
        <v>909</v>
      </c>
      <c r="D143" s="1377" t="s">
        <v>375</v>
      </c>
      <c r="E143" s="844" t="s">
        <v>955</v>
      </c>
      <c r="F143" s="844"/>
      <c r="G143" s="844" t="s">
        <v>956</v>
      </c>
      <c r="H143" s="1495">
        <v>2443827.67</v>
      </c>
      <c r="I143" s="846" t="s">
        <v>337</v>
      </c>
      <c r="J143" s="1378" t="str">
        <f t="shared" si="10"/>
        <v xml:space="preserve"> </v>
      </c>
      <c r="K143" s="278" t="str">
        <f t="shared" si="11"/>
        <v xml:space="preserve"> </v>
      </c>
      <c r="L143" s="278" t="str">
        <f t="shared" si="12"/>
        <v xml:space="preserve"> </v>
      </c>
      <c r="M143" s="1378" t="str">
        <f t="shared" si="13"/>
        <v xml:space="preserve"> </v>
      </c>
      <c r="N143" s="1378">
        <f t="shared" si="14"/>
        <v>2443827.67</v>
      </c>
    </row>
    <row r="144" spans="3:14">
      <c r="C144" s="844" t="s">
        <v>909</v>
      </c>
      <c r="D144" s="1377" t="s">
        <v>375</v>
      </c>
      <c r="E144" s="844" t="s">
        <v>957</v>
      </c>
      <c r="F144" s="844"/>
      <c r="G144" s="844" t="s">
        <v>958</v>
      </c>
      <c r="H144" s="1495">
        <v>716.06</v>
      </c>
      <c r="I144" s="846" t="s">
        <v>328</v>
      </c>
      <c r="J144" s="1378">
        <f t="shared" si="10"/>
        <v>716.06</v>
      </c>
      <c r="K144" s="278" t="str">
        <f t="shared" si="11"/>
        <v xml:space="preserve"> </v>
      </c>
      <c r="L144" s="278" t="str">
        <f t="shared" si="12"/>
        <v xml:space="preserve"> </v>
      </c>
      <c r="M144" s="1378" t="str">
        <f t="shared" si="13"/>
        <v xml:space="preserve"> </v>
      </c>
      <c r="N144" s="1378" t="str">
        <f t="shared" si="14"/>
        <v xml:space="preserve"> </v>
      </c>
    </row>
    <row r="145" spans="3:14">
      <c r="C145" s="844" t="s">
        <v>909</v>
      </c>
      <c r="D145" s="1377" t="s">
        <v>375</v>
      </c>
      <c r="E145" s="844" t="s">
        <v>959</v>
      </c>
      <c r="F145" s="844"/>
      <c r="G145" s="844" t="s">
        <v>960</v>
      </c>
      <c r="H145" s="1495">
        <v>27737.53</v>
      </c>
      <c r="I145" s="846" t="s">
        <v>337</v>
      </c>
      <c r="J145" s="1378" t="str">
        <f t="shared" si="10"/>
        <v xml:space="preserve"> </v>
      </c>
      <c r="K145" s="278" t="str">
        <f t="shared" si="11"/>
        <v xml:space="preserve"> </v>
      </c>
      <c r="L145" s="278" t="str">
        <f t="shared" si="12"/>
        <v xml:space="preserve"> </v>
      </c>
      <c r="M145" s="1378" t="str">
        <f t="shared" si="13"/>
        <v xml:space="preserve"> </v>
      </c>
      <c r="N145" s="1378">
        <f t="shared" si="14"/>
        <v>27737.53</v>
      </c>
    </row>
    <row r="146" spans="3:14">
      <c r="C146" s="844" t="s">
        <v>909</v>
      </c>
      <c r="D146" s="1377"/>
      <c r="E146" s="844" t="s">
        <v>961</v>
      </c>
      <c r="F146" s="844"/>
      <c r="G146" s="844" t="s">
        <v>962</v>
      </c>
      <c r="H146" s="1495">
        <v>0.12</v>
      </c>
      <c r="I146" s="846" t="s">
        <v>184</v>
      </c>
      <c r="J146" s="1378" t="str">
        <f t="shared" si="10"/>
        <v xml:space="preserve"> </v>
      </c>
      <c r="K146" s="278" t="str">
        <f t="shared" si="11"/>
        <v xml:space="preserve"> </v>
      </c>
      <c r="L146" s="278">
        <f t="shared" si="12"/>
        <v>0.12</v>
      </c>
      <c r="M146" s="1378" t="str">
        <f t="shared" si="13"/>
        <v xml:space="preserve"> </v>
      </c>
      <c r="N146" s="1378" t="str">
        <f t="shared" si="14"/>
        <v xml:space="preserve"> </v>
      </c>
    </row>
    <row r="147" spans="3:14">
      <c r="C147" s="844" t="s">
        <v>909</v>
      </c>
      <c r="D147" s="1377"/>
      <c r="E147" s="844" t="s">
        <v>963</v>
      </c>
      <c r="F147" s="844"/>
      <c r="G147" s="844" t="s">
        <v>964</v>
      </c>
      <c r="H147" s="1495">
        <v>-407180.34</v>
      </c>
      <c r="I147" s="846" t="s">
        <v>328</v>
      </c>
      <c r="J147" s="1378">
        <f t="shared" si="10"/>
        <v>-407180.34</v>
      </c>
      <c r="K147" s="278" t="str">
        <f t="shared" si="11"/>
        <v xml:space="preserve"> </v>
      </c>
      <c r="L147" s="278" t="str">
        <f t="shared" si="12"/>
        <v xml:space="preserve"> </v>
      </c>
      <c r="M147" s="1378" t="str">
        <f t="shared" si="13"/>
        <v xml:space="preserve"> </v>
      </c>
      <c r="N147" s="1378" t="str">
        <f t="shared" si="14"/>
        <v xml:space="preserve"> </v>
      </c>
    </row>
    <row r="148" spans="3:14">
      <c r="C148" s="844" t="s">
        <v>909</v>
      </c>
      <c r="D148" s="1377"/>
      <c r="E148" s="844" t="s">
        <v>1535</v>
      </c>
      <c r="F148" s="844"/>
      <c r="G148" s="844" t="s">
        <v>965</v>
      </c>
      <c r="H148" s="1495">
        <v>432254.4</v>
      </c>
      <c r="I148" s="846" t="s">
        <v>328</v>
      </c>
      <c r="J148" s="1378">
        <f t="shared" si="10"/>
        <v>432254.4</v>
      </c>
      <c r="K148" s="278" t="str">
        <f t="shared" si="11"/>
        <v xml:space="preserve"> </v>
      </c>
      <c r="L148" s="278" t="str">
        <f t="shared" si="12"/>
        <v xml:space="preserve"> </v>
      </c>
      <c r="M148" s="1378" t="str">
        <f t="shared" si="13"/>
        <v xml:space="preserve"> </v>
      </c>
      <c r="N148" s="1378" t="str">
        <f t="shared" si="14"/>
        <v xml:space="preserve"> </v>
      </c>
    </row>
    <row r="149" spans="3:14">
      <c r="C149" s="844" t="s">
        <v>909</v>
      </c>
      <c r="D149" s="1377"/>
      <c r="E149" s="844" t="s">
        <v>966</v>
      </c>
      <c r="F149" s="844"/>
      <c r="G149" s="844" t="s">
        <v>967</v>
      </c>
      <c r="H149" s="1495">
        <v>4633.8599999999997</v>
      </c>
      <c r="I149" s="846" t="s">
        <v>328</v>
      </c>
      <c r="J149" s="1378">
        <f t="shared" si="10"/>
        <v>4633.8599999999997</v>
      </c>
      <c r="K149" s="278" t="str">
        <f t="shared" si="11"/>
        <v xml:space="preserve"> </v>
      </c>
      <c r="L149" s="278" t="str">
        <f t="shared" si="12"/>
        <v xml:space="preserve"> </v>
      </c>
      <c r="M149" s="1378" t="str">
        <f t="shared" si="13"/>
        <v xml:space="preserve"> </v>
      </c>
      <c r="N149" s="1378" t="str">
        <f t="shared" si="14"/>
        <v xml:space="preserve"> </v>
      </c>
    </row>
    <row r="150" spans="3:14">
      <c r="C150" s="844" t="s">
        <v>909</v>
      </c>
      <c r="D150" s="1377"/>
      <c r="E150" s="844" t="s">
        <v>1279</v>
      </c>
      <c r="F150" s="844"/>
      <c r="G150" s="844" t="s">
        <v>968</v>
      </c>
      <c r="H150" s="1495">
        <v>-372842.4</v>
      </c>
      <c r="I150" s="846" t="s">
        <v>328</v>
      </c>
      <c r="J150" s="1378">
        <f t="shared" si="10"/>
        <v>-372842.4</v>
      </c>
      <c r="K150" s="278" t="str">
        <f t="shared" si="11"/>
        <v xml:space="preserve"> </v>
      </c>
      <c r="L150" s="278" t="str">
        <f t="shared" si="12"/>
        <v xml:space="preserve"> </v>
      </c>
      <c r="M150" s="1378" t="str">
        <f t="shared" si="13"/>
        <v xml:space="preserve"> </v>
      </c>
      <c r="N150" s="1378" t="str">
        <f t="shared" si="14"/>
        <v xml:space="preserve"> </v>
      </c>
    </row>
    <row r="151" spans="3:14">
      <c r="C151" s="844" t="s">
        <v>909</v>
      </c>
      <c r="D151" s="1377"/>
      <c r="E151" s="844" t="s">
        <v>969</v>
      </c>
      <c r="F151" s="844"/>
      <c r="G151" s="844" t="s">
        <v>970</v>
      </c>
      <c r="H151" s="1495">
        <v>-0.1</v>
      </c>
      <c r="I151" s="846" t="s">
        <v>328</v>
      </c>
      <c r="J151" s="1378">
        <f t="shared" si="10"/>
        <v>-0.1</v>
      </c>
      <c r="K151" s="278" t="str">
        <f t="shared" si="11"/>
        <v xml:space="preserve"> </v>
      </c>
      <c r="L151" s="278" t="str">
        <f t="shared" si="12"/>
        <v xml:space="preserve"> </v>
      </c>
      <c r="M151" s="1378" t="str">
        <f t="shared" si="13"/>
        <v xml:space="preserve"> </v>
      </c>
      <c r="N151" s="1378" t="str">
        <f t="shared" si="14"/>
        <v xml:space="preserve"> </v>
      </c>
    </row>
    <row r="152" spans="3:14">
      <c r="C152" s="844" t="s">
        <v>909</v>
      </c>
      <c r="D152" s="1377"/>
      <c r="E152" s="844" t="s">
        <v>973</v>
      </c>
      <c r="F152" s="844"/>
      <c r="G152" s="844" t="s">
        <v>974</v>
      </c>
      <c r="H152" s="1495">
        <v>370557.93</v>
      </c>
      <c r="I152" s="846" t="s">
        <v>184</v>
      </c>
      <c r="J152" s="1378" t="str">
        <f t="shared" si="10"/>
        <v xml:space="preserve"> </v>
      </c>
      <c r="K152" s="278" t="str">
        <f t="shared" si="11"/>
        <v xml:space="preserve"> </v>
      </c>
      <c r="L152" s="278">
        <f t="shared" si="12"/>
        <v>370557.93</v>
      </c>
      <c r="M152" s="1378" t="str">
        <f t="shared" si="13"/>
        <v xml:space="preserve"> </v>
      </c>
      <c r="N152" s="1378" t="str">
        <f t="shared" si="14"/>
        <v xml:space="preserve"> </v>
      </c>
    </row>
    <row r="153" spans="3:14">
      <c r="C153" s="844" t="s">
        <v>909</v>
      </c>
      <c r="D153" s="1377"/>
      <c r="E153" s="844" t="s">
        <v>975</v>
      </c>
      <c r="F153" s="844"/>
      <c r="G153" s="844" t="s">
        <v>976</v>
      </c>
      <c r="H153" s="1495">
        <v>57310.17</v>
      </c>
      <c r="I153" s="846" t="s">
        <v>328</v>
      </c>
      <c r="J153" s="1378">
        <f t="shared" si="10"/>
        <v>57310.17</v>
      </c>
      <c r="K153" s="278" t="str">
        <f t="shared" si="11"/>
        <v xml:space="preserve"> </v>
      </c>
      <c r="L153" s="278" t="str">
        <f t="shared" si="12"/>
        <v xml:space="preserve"> </v>
      </c>
      <c r="M153" s="1378" t="str">
        <f t="shared" si="13"/>
        <v xml:space="preserve"> </v>
      </c>
      <c r="N153" s="1378" t="str">
        <f t="shared" si="14"/>
        <v xml:space="preserve"> </v>
      </c>
    </row>
    <row r="154" spans="3:14">
      <c r="C154" s="844" t="s">
        <v>909</v>
      </c>
      <c r="D154" s="1377"/>
      <c r="E154" s="844" t="s">
        <v>977</v>
      </c>
      <c r="F154" s="844"/>
      <c r="G154" s="844" t="s">
        <v>978</v>
      </c>
      <c r="H154" s="1495">
        <v>11066115.949999999</v>
      </c>
      <c r="I154" s="846" t="s">
        <v>328</v>
      </c>
      <c r="J154" s="1378">
        <f t="shared" si="10"/>
        <v>11066115.949999999</v>
      </c>
      <c r="K154" s="278" t="str">
        <f t="shared" si="11"/>
        <v xml:space="preserve"> </v>
      </c>
      <c r="L154" s="278" t="str">
        <f t="shared" si="12"/>
        <v xml:space="preserve"> </v>
      </c>
      <c r="M154" s="1378" t="str">
        <f t="shared" si="13"/>
        <v xml:space="preserve"> </v>
      </c>
      <c r="N154" s="1378" t="str">
        <f t="shared" si="14"/>
        <v xml:space="preserve"> </v>
      </c>
    </row>
    <row r="155" spans="3:14">
      <c r="C155" s="844" t="s">
        <v>909</v>
      </c>
      <c r="D155" s="1377"/>
      <c r="E155" s="844" t="s">
        <v>979</v>
      </c>
      <c r="F155" s="844"/>
      <c r="G155" s="844" t="s">
        <v>980</v>
      </c>
      <c r="H155" s="1495">
        <v>3455813.35</v>
      </c>
      <c r="I155" s="846" t="s">
        <v>328</v>
      </c>
      <c r="J155" s="1378">
        <f t="shared" si="10"/>
        <v>3455813.35</v>
      </c>
      <c r="K155" s="278" t="str">
        <f t="shared" si="11"/>
        <v xml:space="preserve"> </v>
      </c>
      <c r="L155" s="278" t="str">
        <f t="shared" si="12"/>
        <v xml:space="preserve"> </v>
      </c>
      <c r="M155" s="1378" t="str">
        <f t="shared" si="13"/>
        <v xml:space="preserve"> </v>
      </c>
      <c r="N155" s="1378" t="str">
        <f t="shared" si="14"/>
        <v xml:space="preserve"> </v>
      </c>
    </row>
    <row r="156" spans="3:14">
      <c r="C156" s="844" t="s">
        <v>909</v>
      </c>
      <c r="D156" s="1377"/>
      <c r="E156" s="844" t="s">
        <v>1552</v>
      </c>
      <c r="F156" s="844"/>
      <c r="G156" s="844" t="s">
        <v>1553</v>
      </c>
      <c r="H156" s="1495">
        <v>312745.87</v>
      </c>
      <c r="I156" s="846" t="s">
        <v>328</v>
      </c>
      <c r="J156" s="1378">
        <f t="shared" si="10"/>
        <v>312745.87</v>
      </c>
      <c r="K156" s="278" t="str">
        <f t="shared" si="11"/>
        <v xml:space="preserve"> </v>
      </c>
      <c r="L156" s="278" t="str">
        <f t="shared" si="12"/>
        <v xml:space="preserve"> </v>
      </c>
      <c r="M156" s="1378" t="str">
        <f t="shared" si="13"/>
        <v xml:space="preserve"> </v>
      </c>
      <c r="N156" s="1378" t="str">
        <f t="shared" si="14"/>
        <v xml:space="preserve"> </v>
      </c>
    </row>
    <row r="157" spans="3:14">
      <c r="C157" s="844" t="s">
        <v>909</v>
      </c>
      <c r="D157" s="1377"/>
      <c r="E157" s="844" t="s">
        <v>1554</v>
      </c>
      <c r="F157" s="844"/>
      <c r="G157" s="844" t="s">
        <v>1555</v>
      </c>
      <c r="H157" s="1495">
        <v>861751.19</v>
      </c>
      <c r="I157" s="846" t="s">
        <v>328</v>
      </c>
      <c r="J157" s="1378">
        <f t="shared" si="10"/>
        <v>861751.19</v>
      </c>
      <c r="K157" s="278" t="str">
        <f t="shared" si="11"/>
        <v xml:space="preserve"> </v>
      </c>
      <c r="L157" s="278" t="str">
        <f t="shared" si="12"/>
        <v xml:space="preserve"> </v>
      </c>
      <c r="M157" s="1378" t="str">
        <f t="shared" si="13"/>
        <v xml:space="preserve"> </v>
      </c>
      <c r="N157" s="1378" t="str">
        <f t="shared" si="14"/>
        <v xml:space="preserve"> </v>
      </c>
    </row>
    <row r="158" spans="3:14">
      <c r="C158" s="844" t="s">
        <v>909</v>
      </c>
      <c r="D158" s="1377"/>
      <c r="E158" s="844" t="s">
        <v>1556</v>
      </c>
      <c r="F158" s="844"/>
      <c r="G158" s="844" t="s">
        <v>1557</v>
      </c>
      <c r="H158" s="1495">
        <v>-13654.38</v>
      </c>
      <c r="I158" s="846" t="s">
        <v>328</v>
      </c>
      <c r="J158" s="1378">
        <f t="shared" si="10"/>
        <v>-13654.38</v>
      </c>
      <c r="K158" s="278" t="str">
        <f t="shared" si="11"/>
        <v xml:space="preserve"> </v>
      </c>
      <c r="L158" s="278" t="str">
        <f t="shared" si="12"/>
        <v xml:space="preserve"> </v>
      </c>
      <c r="M158" s="1378" t="str">
        <f t="shared" si="13"/>
        <v xml:space="preserve"> </v>
      </c>
      <c r="N158" s="1378" t="str">
        <f t="shared" si="14"/>
        <v xml:space="preserve"> </v>
      </c>
    </row>
    <row r="159" spans="3:14">
      <c r="C159" s="844" t="s">
        <v>909</v>
      </c>
      <c r="D159" s="1377"/>
      <c r="E159" s="844" t="s">
        <v>1558</v>
      </c>
      <c r="F159" s="844"/>
      <c r="G159" s="844" t="s">
        <v>1559</v>
      </c>
      <c r="H159" s="1495">
        <v>-69042.33</v>
      </c>
      <c r="I159" s="846" t="s">
        <v>328</v>
      </c>
      <c r="J159" s="1378">
        <f t="shared" si="10"/>
        <v>-69042.33</v>
      </c>
      <c r="K159" s="278" t="str">
        <f t="shared" si="11"/>
        <v xml:space="preserve"> </v>
      </c>
      <c r="L159" s="278" t="str">
        <f t="shared" si="12"/>
        <v xml:space="preserve"> </v>
      </c>
      <c r="M159" s="1378" t="str">
        <f t="shared" si="13"/>
        <v xml:space="preserve"> </v>
      </c>
      <c r="N159" s="1378" t="str">
        <f t="shared" si="14"/>
        <v xml:space="preserve"> </v>
      </c>
    </row>
    <row r="160" spans="3:14">
      <c r="C160" s="844" t="s">
        <v>909</v>
      </c>
      <c r="D160" s="1377"/>
      <c r="E160" s="844" t="s">
        <v>1560</v>
      </c>
      <c r="F160" s="844"/>
      <c r="G160" s="844" t="s">
        <v>1561</v>
      </c>
      <c r="H160" s="1495">
        <v>33536.080000000002</v>
      </c>
      <c r="I160" s="846" t="s">
        <v>328</v>
      </c>
      <c r="J160" s="1378">
        <f t="shared" si="10"/>
        <v>33536.080000000002</v>
      </c>
      <c r="K160" s="278" t="str">
        <f t="shared" si="11"/>
        <v xml:space="preserve"> </v>
      </c>
      <c r="L160" s="278" t="str">
        <f t="shared" si="12"/>
        <v xml:space="preserve"> </v>
      </c>
      <c r="M160" s="1378" t="str">
        <f t="shared" si="13"/>
        <v xml:space="preserve"> </v>
      </c>
      <c r="N160" s="1378" t="str">
        <f t="shared" si="14"/>
        <v xml:space="preserve"> </v>
      </c>
    </row>
    <row r="161" spans="3:14">
      <c r="C161" s="844" t="s">
        <v>909</v>
      </c>
      <c r="D161" s="1377"/>
      <c r="E161" s="844" t="s">
        <v>1562</v>
      </c>
      <c r="F161" s="844"/>
      <c r="G161" s="844" t="s">
        <v>1563</v>
      </c>
      <c r="H161" s="1495">
        <v>10079.76</v>
      </c>
      <c r="I161" s="846" t="s">
        <v>328</v>
      </c>
      <c r="J161" s="1378">
        <f t="shared" si="10"/>
        <v>10079.76</v>
      </c>
      <c r="K161" s="278" t="str">
        <f t="shared" si="11"/>
        <v xml:space="preserve"> </v>
      </c>
      <c r="L161" s="278" t="str">
        <f t="shared" si="12"/>
        <v xml:space="preserve"> </v>
      </c>
      <c r="M161" s="1378" t="str">
        <f t="shared" si="13"/>
        <v xml:space="preserve"> </v>
      </c>
      <c r="N161" s="1378" t="str">
        <f t="shared" si="14"/>
        <v xml:space="preserve"> </v>
      </c>
    </row>
    <row r="162" spans="3:14">
      <c r="C162" s="844" t="s">
        <v>909</v>
      </c>
      <c r="D162" s="1377"/>
      <c r="E162" s="844" t="s">
        <v>1564</v>
      </c>
      <c r="F162" s="844"/>
      <c r="G162" s="844" t="s">
        <v>1565</v>
      </c>
      <c r="H162" s="1495">
        <v>0</v>
      </c>
      <c r="I162" s="846" t="s">
        <v>328</v>
      </c>
      <c r="J162" s="1378">
        <f t="shared" si="10"/>
        <v>0</v>
      </c>
      <c r="K162" s="278" t="str">
        <f t="shared" si="11"/>
        <v xml:space="preserve"> </v>
      </c>
      <c r="L162" s="278" t="str">
        <f t="shared" si="12"/>
        <v xml:space="preserve"> </v>
      </c>
      <c r="M162" s="1378" t="str">
        <f t="shared" si="13"/>
        <v xml:space="preserve"> </v>
      </c>
      <c r="N162" s="1378" t="str">
        <f t="shared" si="14"/>
        <v xml:space="preserve"> </v>
      </c>
    </row>
    <row r="163" spans="3:14">
      <c r="C163" s="844" t="s">
        <v>909</v>
      </c>
      <c r="D163" s="1377"/>
      <c r="E163" s="844" t="s">
        <v>1566</v>
      </c>
      <c r="F163" s="844"/>
      <c r="G163" s="844" t="s">
        <v>1567</v>
      </c>
      <c r="H163" s="1495">
        <v>384494.35</v>
      </c>
      <c r="I163" s="846" t="s">
        <v>328</v>
      </c>
      <c r="J163" s="1378">
        <f t="shared" si="10"/>
        <v>384494.35</v>
      </c>
      <c r="K163" s="278" t="str">
        <f t="shared" si="11"/>
        <v xml:space="preserve"> </v>
      </c>
      <c r="L163" s="278" t="str">
        <f t="shared" si="12"/>
        <v xml:space="preserve"> </v>
      </c>
      <c r="M163" s="1378" t="str">
        <f t="shared" si="13"/>
        <v xml:space="preserve"> </v>
      </c>
      <c r="N163" s="1378" t="str">
        <f t="shared" si="14"/>
        <v xml:space="preserve"> </v>
      </c>
    </row>
    <row r="164" spans="3:14">
      <c r="C164" s="844" t="s">
        <v>909</v>
      </c>
      <c r="D164" s="1377"/>
      <c r="E164" s="844" t="s">
        <v>1568</v>
      </c>
      <c r="F164" s="844"/>
      <c r="G164" s="844" t="s">
        <v>1569</v>
      </c>
      <c r="H164" s="1495">
        <v>462497.44</v>
      </c>
      <c r="I164" s="846" t="s">
        <v>328</v>
      </c>
      <c r="J164" s="1378">
        <f t="shared" si="10"/>
        <v>462497.44</v>
      </c>
      <c r="K164" s="278" t="str">
        <f t="shared" si="11"/>
        <v xml:space="preserve"> </v>
      </c>
      <c r="L164" s="278" t="str">
        <f t="shared" si="12"/>
        <v xml:space="preserve"> </v>
      </c>
      <c r="M164" s="1378" t="str">
        <f t="shared" si="13"/>
        <v xml:space="preserve"> </v>
      </c>
      <c r="N164" s="1378" t="str">
        <f t="shared" si="14"/>
        <v xml:space="preserve"> </v>
      </c>
    </row>
    <row r="165" spans="3:14">
      <c r="C165" s="844" t="s">
        <v>909</v>
      </c>
      <c r="D165" s="1377"/>
      <c r="E165" s="844" t="s">
        <v>1570</v>
      </c>
      <c r="F165" s="844"/>
      <c r="G165" s="844" t="s">
        <v>1571</v>
      </c>
      <c r="H165" s="1495">
        <v>531605.36</v>
      </c>
      <c r="I165" s="846" t="s">
        <v>328</v>
      </c>
      <c r="J165" s="1378">
        <f t="shared" si="10"/>
        <v>531605.36</v>
      </c>
      <c r="K165" s="278" t="str">
        <f t="shared" si="11"/>
        <v xml:space="preserve"> </v>
      </c>
      <c r="L165" s="278" t="str">
        <f t="shared" si="12"/>
        <v xml:space="preserve"> </v>
      </c>
      <c r="M165" s="1378" t="str">
        <f t="shared" si="13"/>
        <v xml:space="preserve"> </v>
      </c>
      <c r="N165" s="1378" t="str">
        <f t="shared" si="14"/>
        <v xml:space="preserve"> </v>
      </c>
    </row>
    <row r="166" spans="3:14">
      <c r="C166" s="844" t="s">
        <v>909</v>
      </c>
      <c r="D166" s="1377"/>
      <c r="E166" s="844" t="s">
        <v>1572</v>
      </c>
      <c r="F166" s="844"/>
      <c r="G166" s="844" t="s">
        <v>1573</v>
      </c>
      <c r="H166" s="1495">
        <v>13522.06</v>
      </c>
      <c r="I166" s="846" t="s">
        <v>328</v>
      </c>
      <c r="J166" s="1378">
        <f t="shared" si="10"/>
        <v>13522.06</v>
      </c>
      <c r="K166" s="278" t="str">
        <f t="shared" si="11"/>
        <v xml:space="preserve"> </v>
      </c>
      <c r="L166" s="278" t="str">
        <f t="shared" si="12"/>
        <v xml:space="preserve"> </v>
      </c>
      <c r="M166" s="1378" t="str">
        <f t="shared" si="13"/>
        <v xml:space="preserve"> </v>
      </c>
      <c r="N166" s="1378" t="str">
        <f t="shared" si="14"/>
        <v xml:space="preserve"> </v>
      </c>
    </row>
    <row r="167" spans="3:14">
      <c r="C167" s="844" t="s">
        <v>909</v>
      </c>
      <c r="D167" s="1377"/>
      <c r="E167" s="844" t="s">
        <v>1574</v>
      </c>
      <c r="F167" s="844"/>
      <c r="G167" s="844" t="s">
        <v>1575</v>
      </c>
      <c r="H167" s="1495">
        <v>19292.740000000002</v>
      </c>
      <c r="I167" s="846" t="s">
        <v>328</v>
      </c>
      <c r="J167" s="1378">
        <f t="shared" si="10"/>
        <v>19292.740000000002</v>
      </c>
      <c r="K167" s="278" t="str">
        <f t="shared" si="11"/>
        <v xml:space="preserve"> </v>
      </c>
      <c r="L167" s="278" t="str">
        <f t="shared" si="12"/>
        <v xml:space="preserve"> </v>
      </c>
      <c r="M167" s="1378" t="str">
        <f t="shared" si="13"/>
        <v xml:space="preserve"> </v>
      </c>
      <c r="N167" s="1378" t="str">
        <f t="shared" si="14"/>
        <v xml:space="preserve"> </v>
      </c>
    </row>
    <row r="168" spans="3:14">
      <c r="C168" s="844" t="s">
        <v>909</v>
      </c>
      <c r="D168" s="1377" t="s">
        <v>375</v>
      </c>
      <c r="E168" s="844" t="s">
        <v>981</v>
      </c>
      <c r="F168" s="844"/>
      <c r="G168" s="844" t="s">
        <v>982</v>
      </c>
      <c r="H168" s="1495">
        <v>-348128.34</v>
      </c>
      <c r="I168" s="846" t="s">
        <v>328</v>
      </c>
      <c r="J168" s="1378">
        <f t="shared" si="10"/>
        <v>-348128.34</v>
      </c>
      <c r="K168" s="278" t="str">
        <f t="shared" si="11"/>
        <v xml:space="preserve"> </v>
      </c>
      <c r="L168" s="278" t="str">
        <f t="shared" si="12"/>
        <v xml:space="preserve"> </v>
      </c>
      <c r="M168" s="1378" t="str">
        <f t="shared" si="13"/>
        <v xml:space="preserve"> </v>
      </c>
      <c r="N168" s="1378" t="str">
        <f t="shared" si="14"/>
        <v xml:space="preserve"> </v>
      </c>
    </row>
    <row r="169" spans="3:14">
      <c r="C169" s="844" t="s">
        <v>909</v>
      </c>
      <c r="D169" s="1377" t="s">
        <v>375</v>
      </c>
      <c r="E169" s="844" t="s">
        <v>1576</v>
      </c>
      <c r="F169" s="844"/>
      <c r="G169" s="844" t="s">
        <v>1577</v>
      </c>
      <c r="H169" s="1495">
        <v>19902.82</v>
      </c>
      <c r="I169" s="846" t="s">
        <v>328</v>
      </c>
      <c r="J169" s="1378">
        <f t="shared" si="10"/>
        <v>19902.82</v>
      </c>
      <c r="K169" s="278" t="str">
        <f t="shared" si="11"/>
        <v xml:space="preserve"> </v>
      </c>
      <c r="L169" s="278" t="str">
        <f t="shared" si="12"/>
        <v xml:space="preserve"> </v>
      </c>
      <c r="M169" s="1378" t="str">
        <f t="shared" si="13"/>
        <v xml:space="preserve"> </v>
      </c>
      <c r="N169" s="1378" t="str">
        <f t="shared" si="14"/>
        <v xml:space="preserve"> </v>
      </c>
    </row>
    <row r="170" spans="3:14">
      <c r="C170" s="844" t="s">
        <v>909</v>
      </c>
      <c r="D170" s="1377" t="s">
        <v>375</v>
      </c>
      <c r="E170" s="844" t="s">
        <v>983</v>
      </c>
      <c r="F170" s="844"/>
      <c r="G170" s="844" t="s">
        <v>984</v>
      </c>
      <c r="H170" s="1495">
        <v>1271788.98</v>
      </c>
      <c r="I170" s="846" t="s">
        <v>328</v>
      </c>
      <c r="J170" s="1378">
        <f t="shared" si="10"/>
        <v>1271788.98</v>
      </c>
      <c r="K170" s="278" t="str">
        <f t="shared" si="11"/>
        <v xml:space="preserve"> </v>
      </c>
      <c r="L170" s="278" t="str">
        <f t="shared" si="12"/>
        <v xml:space="preserve"> </v>
      </c>
      <c r="M170" s="1378" t="str">
        <f t="shared" si="13"/>
        <v xml:space="preserve"> </v>
      </c>
      <c r="N170" s="1378" t="str">
        <f t="shared" si="14"/>
        <v xml:space="preserve"> </v>
      </c>
    </row>
    <row r="171" spans="3:14">
      <c r="C171" s="844" t="s">
        <v>909</v>
      </c>
      <c r="D171" s="1377" t="s">
        <v>375</v>
      </c>
      <c r="E171" s="844" t="s">
        <v>985</v>
      </c>
      <c r="F171" s="844"/>
      <c r="G171" s="844" t="s">
        <v>986</v>
      </c>
      <c r="H171" s="1495">
        <v>-678289.71</v>
      </c>
      <c r="I171" s="846" t="s">
        <v>328</v>
      </c>
      <c r="J171" s="1378">
        <f t="shared" si="10"/>
        <v>-678289.71</v>
      </c>
      <c r="K171" s="278" t="str">
        <f t="shared" si="11"/>
        <v xml:space="preserve"> </v>
      </c>
      <c r="L171" s="278" t="str">
        <f t="shared" si="12"/>
        <v xml:space="preserve"> </v>
      </c>
      <c r="M171" s="1378" t="str">
        <f t="shared" si="13"/>
        <v xml:space="preserve"> </v>
      </c>
      <c r="N171" s="1378" t="str">
        <f t="shared" si="14"/>
        <v xml:space="preserve"> </v>
      </c>
    </row>
    <row r="172" spans="3:14">
      <c r="C172" s="844" t="s">
        <v>909</v>
      </c>
      <c r="D172" s="1377" t="s">
        <v>375</v>
      </c>
      <c r="E172" s="844" t="s">
        <v>987</v>
      </c>
      <c r="F172" s="844"/>
      <c r="G172" s="844" t="s">
        <v>988</v>
      </c>
      <c r="H172" s="1495">
        <v>89765.34</v>
      </c>
      <c r="I172" s="846" t="s">
        <v>328</v>
      </c>
      <c r="J172" s="1378">
        <f t="shared" si="10"/>
        <v>89765.34</v>
      </c>
      <c r="K172" s="278" t="str">
        <f t="shared" si="11"/>
        <v xml:space="preserve"> </v>
      </c>
      <c r="L172" s="278" t="str">
        <f t="shared" si="12"/>
        <v xml:space="preserve"> </v>
      </c>
      <c r="M172" s="1378" t="str">
        <f t="shared" si="13"/>
        <v xml:space="preserve"> </v>
      </c>
      <c r="N172" s="1378" t="str">
        <f t="shared" si="14"/>
        <v xml:space="preserve"> </v>
      </c>
    </row>
    <row r="173" spans="3:14">
      <c r="C173" s="844" t="s">
        <v>909</v>
      </c>
      <c r="D173" s="1377" t="s">
        <v>375</v>
      </c>
      <c r="E173" s="844" t="s">
        <v>989</v>
      </c>
      <c r="F173" s="844"/>
      <c r="G173" s="844" t="s">
        <v>990</v>
      </c>
      <c r="H173" s="1495">
        <v>-343306.97</v>
      </c>
      <c r="I173" s="846" t="s">
        <v>328</v>
      </c>
      <c r="J173" s="1378">
        <f t="shared" si="10"/>
        <v>-343306.97</v>
      </c>
      <c r="K173" s="278" t="str">
        <f t="shared" si="11"/>
        <v xml:space="preserve"> </v>
      </c>
      <c r="L173" s="278" t="str">
        <f t="shared" si="12"/>
        <v xml:space="preserve"> </v>
      </c>
      <c r="M173" s="1378" t="str">
        <f t="shared" si="13"/>
        <v xml:space="preserve"> </v>
      </c>
      <c r="N173" s="1378" t="str">
        <f t="shared" si="14"/>
        <v xml:space="preserve"> </v>
      </c>
    </row>
    <row r="174" spans="3:14">
      <c r="C174" s="844" t="s">
        <v>909</v>
      </c>
      <c r="D174" s="1377" t="s">
        <v>375</v>
      </c>
      <c r="E174" s="844" t="s">
        <v>991</v>
      </c>
      <c r="F174" s="844"/>
      <c r="G174" s="844" t="s">
        <v>992</v>
      </c>
      <c r="H174" s="1495">
        <v>23692713.260000002</v>
      </c>
      <c r="I174" s="846" t="s">
        <v>328</v>
      </c>
      <c r="J174" s="1378">
        <f t="shared" si="10"/>
        <v>23692713.260000002</v>
      </c>
      <c r="K174" s="278" t="str">
        <f t="shared" si="11"/>
        <v xml:space="preserve"> </v>
      </c>
      <c r="L174" s="278" t="str">
        <f t="shared" si="12"/>
        <v xml:space="preserve"> </v>
      </c>
      <c r="M174" s="1378" t="str">
        <f t="shared" si="13"/>
        <v xml:space="preserve"> </v>
      </c>
      <c r="N174" s="1378" t="str">
        <f t="shared" si="14"/>
        <v xml:space="preserve"> </v>
      </c>
    </row>
    <row r="175" spans="3:14">
      <c r="C175" s="844" t="s">
        <v>909</v>
      </c>
      <c r="D175" s="1377" t="s">
        <v>375</v>
      </c>
      <c r="E175" s="855" t="s">
        <v>1536</v>
      </c>
      <c r="F175" s="844"/>
      <c r="G175" s="844" t="s">
        <v>994</v>
      </c>
      <c r="H175" s="1495">
        <v>-20804.7</v>
      </c>
      <c r="I175" s="846" t="s">
        <v>328</v>
      </c>
      <c r="J175" s="1378">
        <f t="shared" si="10"/>
        <v>-20804.7</v>
      </c>
      <c r="K175" s="278" t="str">
        <f t="shared" si="11"/>
        <v xml:space="preserve"> </v>
      </c>
      <c r="L175" s="278" t="str">
        <f t="shared" si="12"/>
        <v xml:space="preserve"> </v>
      </c>
      <c r="M175" s="1378" t="str">
        <f t="shared" si="13"/>
        <v xml:space="preserve"> </v>
      </c>
      <c r="N175" s="1378" t="str">
        <f t="shared" si="14"/>
        <v xml:space="preserve"> </v>
      </c>
    </row>
    <row r="176" spans="3:14">
      <c r="C176" s="844" t="s">
        <v>909</v>
      </c>
      <c r="D176" s="1377" t="s">
        <v>375</v>
      </c>
      <c r="E176" s="844" t="s">
        <v>1281</v>
      </c>
      <c r="F176" s="844"/>
      <c r="G176" s="844" t="s">
        <v>996</v>
      </c>
      <c r="H176" s="1495">
        <v>-457590</v>
      </c>
      <c r="I176" s="846" t="s">
        <v>328</v>
      </c>
      <c r="J176" s="1378">
        <f t="shared" si="10"/>
        <v>-457590</v>
      </c>
      <c r="K176" s="278" t="str">
        <f t="shared" si="11"/>
        <v xml:space="preserve"> </v>
      </c>
      <c r="L176" s="278" t="str">
        <f t="shared" si="12"/>
        <v xml:space="preserve"> </v>
      </c>
      <c r="M176" s="1378" t="str">
        <f t="shared" si="13"/>
        <v xml:space="preserve"> </v>
      </c>
      <c r="N176" s="1378" t="str">
        <f t="shared" si="14"/>
        <v xml:space="preserve"> </v>
      </c>
    </row>
    <row r="177" spans="3:14">
      <c r="C177" s="844" t="s">
        <v>909</v>
      </c>
      <c r="D177" s="1377" t="s">
        <v>375</v>
      </c>
      <c r="E177" s="844" t="s">
        <v>1281</v>
      </c>
      <c r="F177" s="844"/>
      <c r="G177" s="844" t="s">
        <v>997</v>
      </c>
      <c r="H177" s="1495">
        <v>457590</v>
      </c>
      <c r="I177" s="846" t="s">
        <v>328</v>
      </c>
      <c r="J177" s="1378">
        <f t="shared" si="10"/>
        <v>457590</v>
      </c>
      <c r="K177" s="278" t="str">
        <f t="shared" si="11"/>
        <v xml:space="preserve"> </v>
      </c>
      <c r="L177" s="278" t="str">
        <f t="shared" si="12"/>
        <v xml:space="preserve"> </v>
      </c>
      <c r="M177" s="1378" t="str">
        <f t="shared" si="13"/>
        <v xml:space="preserve"> </v>
      </c>
      <c r="N177" s="1378" t="str">
        <f t="shared" si="14"/>
        <v xml:space="preserve"> </v>
      </c>
    </row>
    <row r="178" spans="3:14">
      <c r="C178" s="844" t="s">
        <v>909</v>
      </c>
      <c r="D178" s="1377" t="s">
        <v>375</v>
      </c>
      <c r="E178" s="855" t="s">
        <v>1537</v>
      </c>
      <c r="F178" s="844"/>
      <c r="G178" s="844" t="s">
        <v>999</v>
      </c>
      <c r="H178" s="1495">
        <v>-725326.86</v>
      </c>
      <c r="I178" s="846" t="s">
        <v>328</v>
      </c>
      <c r="J178" s="1378">
        <f t="shared" si="10"/>
        <v>-725326.86</v>
      </c>
      <c r="K178" s="278" t="str">
        <f t="shared" si="11"/>
        <v xml:space="preserve"> </v>
      </c>
      <c r="L178" s="278" t="str">
        <f t="shared" si="12"/>
        <v xml:space="preserve"> </v>
      </c>
      <c r="M178" s="1378" t="str">
        <f t="shared" si="13"/>
        <v xml:space="preserve"> </v>
      </c>
      <c r="N178" s="1378" t="str">
        <f t="shared" si="14"/>
        <v xml:space="preserve"> </v>
      </c>
    </row>
    <row r="179" spans="3:14">
      <c r="C179" s="844" t="s">
        <v>909</v>
      </c>
      <c r="D179" s="1377" t="s">
        <v>375</v>
      </c>
      <c r="E179" s="844" t="s">
        <v>1538</v>
      </c>
      <c r="F179" s="844"/>
      <c r="G179" s="844" t="s">
        <v>1000</v>
      </c>
      <c r="H179" s="1495">
        <v>565362.51</v>
      </c>
      <c r="I179" s="846" t="s">
        <v>328</v>
      </c>
      <c r="J179" s="1378">
        <f t="shared" si="10"/>
        <v>565362.51</v>
      </c>
      <c r="K179" s="278" t="str">
        <f t="shared" si="11"/>
        <v xml:space="preserve"> </v>
      </c>
      <c r="L179" s="278" t="str">
        <f t="shared" si="12"/>
        <v xml:space="preserve"> </v>
      </c>
      <c r="M179" s="1378" t="str">
        <f t="shared" si="13"/>
        <v xml:space="preserve"> </v>
      </c>
      <c r="N179" s="1378" t="str">
        <f t="shared" si="14"/>
        <v xml:space="preserve"> </v>
      </c>
    </row>
    <row r="180" spans="3:14">
      <c r="C180" s="844" t="s">
        <v>909</v>
      </c>
      <c r="D180" s="1377" t="s">
        <v>375</v>
      </c>
      <c r="E180" s="844" t="s">
        <v>1001</v>
      </c>
      <c r="F180" s="844"/>
      <c r="G180" s="844" t="s">
        <v>1002</v>
      </c>
      <c r="H180" s="1495">
        <v>11265.66</v>
      </c>
      <c r="I180" s="846" t="s">
        <v>328</v>
      </c>
      <c r="J180" s="1378">
        <f t="shared" si="10"/>
        <v>11265.66</v>
      </c>
      <c r="K180" s="278" t="str">
        <f t="shared" si="11"/>
        <v xml:space="preserve"> </v>
      </c>
      <c r="L180" s="278" t="str">
        <f t="shared" si="12"/>
        <v xml:space="preserve"> </v>
      </c>
      <c r="M180" s="1378" t="str">
        <f t="shared" si="13"/>
        <v xml:space="preserve"> </v>
      </c>
      <c r="N180" s="1378" t="str">
        <f t="shared" si="14"/>
        <v xml:space="preserve"> </v>
      </c>
    </row>
    <row r="181" spans="3:14">
      <c r="C181" s="844" t="s">
        <v>909</v>
      </c>
      <c r="D181" s="1377"/>
      <c r="E181" s="844" t="s">
        <v>1539</v>
      </c>
      <c r="F181" s="844"/>
      <c r="G181" s="844" t="s">
        <v>1578</v>
      </c>
      <c r="H181" s="1495">
        <v>-1356243.21</v>
      </c>
      <c r="I181" s="846" t="s">
        <v>328</v>
      </c>
      <c r="J181" s="1378">
        <f t="shared" si="10"/>
        <v>-1356243.21</v>
      </c>
      <c r="K181" s="278" t="str">
        <f t="shared" si="11"/>
        <v xml:space="preserve"> </v>
      </c>
      <c r="L181" s="278" t="str">
        <f t="shared" si="12"/>
        <v xml:space="preserve"> </v>
      </c>
      <c r="M181" s="1378" t="str">
        <f t="shared" si="13"/>
        <v xml:space="preserve"> </v>
      </c>
      <c r="N181" s="1378" t="str">
        <f t="shared" si="14"/>
        <v xml:space="preserve"> </v>
      </c>
    </row>
    <row r="182" spans="3:14">
      <c r="C182" s="844" t="s">
        <v>909</v>
      </c>
      <c r="D182" s="1377"/>
      <c r="E182" s="844" t="s">
        <v>1003</v>
      </c>
      <c r="F182" s="844"/>
      <c r="G182" s="844" t="s">
        <v>1004</v>
      </c>
      <c r="H182" s="1495">
        <v>363635.28</v>
      </c>
      <c r="I182" s="846" t="s">
        <v>184</v>
      </c>
      <c r="J182" s="1378" t="str">
        <f t="shared" ref="J182:J190" si="15">IF(I182="e",H182," ")</f>
        <v xml:space="preserve"> </v>
      </c>
      <c r="K182" s="278" t="str">
        <f t="shared" ref="K182:K190" si="16">IF($I182="T",$H182," ")</f>
        <v xml:space="preserve"> </v>
      </c>
      <c r="L182" s="278">
        <f t="shared" ref="L182:L190" si="17">IF($I182="PTD",$H182," ")</f>
        <v>363635.28</v>
      </c>
      <c r="M182" s="1378" t="str">
        <f t="shared" ref="M182:M190" si="18">IF($I182="T&amp;D",$H182," ")</f>
        <v xml:space="preserve"> </v>
      </c>
      <c r="N182" s="1378" t="str">
        <f t="shared" ref="N182:N190" si="19">IF(I182="Labor",H182," ")</f>
        <v xml:space="preserve"> </v>
      </c>
    </row>
    <row r="183" spans="3:14">
      <c r="C183" s="844" t="s">
        <v>909</v>
      </c>
      <c r="D183" s="1377"/>
      <c r="E183" s="844" t="s">
        <v>1005</v>
      </c>
      <c r="F183" s="844"/>
      <c r="G183" s="844" t="s">
        <v>1006</v>
      </c>
      <c r="H183" s="1495">
        <v>-0.25</v>
      </c>
      <c r="I183" s="846" t="s">
        <v>328</v>
      </c>
      <c r="J183" s="1378">
        <f t="shared" si="15"/>
        <v>-0.25</v>
      </c>
      <c r="K183" s="278" t="str">
        <f t="shared" si="16"/>
        <v xml:space="preserve"> </v>
      </c>
      <c r="L183" s="278" t="str">
        <f t="shared" si="17"/>
        <v xml:space="preserve"> </v>
      </c>
      <c r="M183" s="1378" t="str">
        <f t="shared" si="18"/>
        <v xml:space="preserve"> </v>
      </c>
      <c r="N183" s="1378" t="str">
        <f t="shared" si="19"/>
        <v xml:space="preserve"> </v>
      </c>
    </row>
    <row r="184" spans="3:14">
      <c r="C184" s="844" t="s">
        <v>909</v>
      </c>
      <c r="D184" s="1377"/>
      <c r="E184" s="844" t="s">
        <v>1007</v>
      </c>
      <c r="F184" s="844"/>
      <c r="G184" s="844" t="s">
        <v>1008</v>
      </c>
      <c r="H184" s="1495">
        <v>0</v>
      </c>
      <c r="I184" s="846" t="s">
        <v>328</v>
      </c>
      <c r="J184" s="1378">
        <f t="shared" si="15"/>
        <v>0</v>
      </c>
      <c r="K184" s="278" t="str">
        <f t="shared" si="16"/>
        <v xml:space="preserve"> </v>
      </c>
      <c r="L184" s="278" t="str">
        <f t="shared" si="17"/>
        <v xml:space="preserve"> </v>
      </c>
      <c r="M184" s="1378" t="str">
        <f t="shared" si="18"/>
        <v xml:space="preserve"> </v>
      </c>
      <c r="N184" s="1378" t="str">
        <f t="shared" si="19"/>
        <v xml:space="preserve"> </v>
      </c>
    </row>
    <row r="185" spans="3:14">
      <c r="C185" s="844" t="s">
        <v>909</v>
      </c>
      <c r="D185" s="1377"/>
      <c r="E185" s="844" t="s">
        <v>1540</v>
      </c>
      <c r="F185" s="844"/>
      <c r="G185" s="844" t="s">
        <v>1579</v>
      </c>
      <c r="H185" s="1495">
        <v>24140.74</v>
      </c>
      <c r="I185" s="846" t="s">
        <v>337</v>
      </c>
      <c r="J185" s="1378" t="str">
        <f t="shared" si="15"/>
        <v xml:space="preserve"> </v>
      </c>
      <c r="K185" s="278" t="str">
        <f t="shared" si="16"/>
        <v xml:space="preserve"> </v>
      </c>
      <c r="L185" s="278" t="str">
        <f t="shared" si="17"/>
        <v xml:space="preserve"> </v>
      </c>
      <c r="M185" s="1378" t="str">
        <f t="shared" si="18"/>
        <v xml:space="preserve"> </v>
      </c>
      <c r="N185" s="1378">
        <f t="shared" si="19"/>
        <v>24140.74</v>
      </c>
    </row>
    <row r="186" spans="3:14">
      <c r="C186" s="844" t="s">
        <v>909</v>
      </c>
      <c r="D186" s="1377"/>
      <c r="E186" s="844" t="s">
        <v>1541</v>
      </c>
      <c r="F186" s="844"/>
      <c r="G186" s="844" t="s">
        <v>1580</v>
      </c>
      <c r="H186" s="1495">
        <v>117713.52</v>
      </c>
      <c r="I186" s="846" t="s">
        <v>337</v>
      </c>
      <c r="J186" s="1378" t="str">
        <f t="shared" si="15"/>
        <v xml:space="preserve"> </v>
      </c>
      <c r="K186" s="278" t="str">
        <f t="shared" si="16"/>
        <v xml:space="preserve"> </v>
      </c>
      <c r="L186" s="278" t="str">
        <f t="shared" si="17"/>
        <v xml:space="preserve"> </v>
      </c>
      <c r="M186" s="1378" t="str">
        <f t="shared" si="18"/>
        <v xml:space="preserve"> </v>
      </c>
      <c r="N186" s="1378">
        <f t="shared" si="19"/>
        <v>117713.52</v>
      </c>
    </row>
    <row r="187" spans="3:14">
      <c r="C187" s="844"/>
      <c r="D187" s="1377"/>
      <c r="E187" s="844"/>
      <c r="F187" s="844"/>
      <c r="G187" s="844"/>
      <c r="H187" s="1495"/>
      <c r="I187" s="846"/>
      <c r="J187" s="1378" t="str">
        <f t="shared" si="15"/>
        <v xml:space="preserve"> </v>
      </c>
      <c r="K187" s="278" t="str">
        <f t="shared" si="16"/>
        <v xml:space="preserve"> </v>
      </c>
      <c r="L187" s="278" t="str">
        <f t="shared" si="17"/>
        <v xml:space="preserve"> </v>
      </c>
      <c r="M187" s="1378" t="str">
        <f t="shared" si="18"/>
        <v xml:space="preserve"> </v>
      </c>
      <c r="N187" s="1378" t="str">
        <f t="shared" si="19"/>
        <v xml:space="preserve"> </v>
      </c>
    </row>
    <row r="188" spans="3:14">
      <c r="C188" s="1278">
        <v>1901002</v>
      </c>
      <c r="D188" s="1377"/>
      <c r="E188" s="844" t="s">
        <v>1583</v>
      </c>
      <c r="F188" s="844"/>
      <c r="G188" s="844" t="s">
        <v>1586</v>
      </c>
      <c r="H188" s="1495">
        <v>4345535.45</v>
      </c>
      <c r="I188" s="846" t="s">
        <v>328</v>
      </c>
      <c r="J188" s="1378">
        <f t="shared" si="15"/>
        <v>4345535.45</v>
      </c>
      <c r="K188" s="278" t="str">
        <f t="shared" si="16"/>
        <v xml:space="preserve"> </v>
      </c>
      <c r="L188" s="278" t="str">
        <f t="shared" si="17"/>
        <v xml:space="preserve"> </v>
      </c>
      <c r="M188" s="1378" t="str">
        <f t="shared" si="18"/>
        <v xml:space="preserve"> </v>
      </c>
      <c r="N188" s="1378" t="str">
        <f t="shared" si="19"/>
        <v xml:space="preserve"> </v>
      </c>
    </row>
    <row r="189" spans="3:14">
      <c r="C189" s="1278">
        <v>1901002</v>
      </c>
      <c r="D189" s="1377"/>
      <c r="E189" s="844" t="s">
        <v>1584</v>
      </c>
      <c r="F189" s="844"/>
      <c r="G189" s="844" t="s">
        <v>1587</v>
      </c>
      <c r="H189" s="1495">
        <v>39616662.109999999</v>
      </c>
      <c r="I189" s="846" t="s">
        <v>328</v>
      </c>
      <c r="J189" s="1378">
        <f t="shared" si="15"/>
        <v>39616662.109999999</v>
      </c>
      <c r="K189" s="278" t="str">
        <f t="shared" si="16"/>
        <v xml:space="preserve"> </v>
      </c>
      <c r="L189" s="278" t="str">
        <f t="shared" si="17"/>
        <v xml:space="preserve"> </v>
      </c>
      <c r="M189" s="1378" t="str">
        <f t="shared" si="18"/>
        <v xml:space="preserve"> </v>
      </c>
      <c r="N189" s="1378" t="str">
        <f t="shared" si="19"/>
        <v xml:space="preserve"> </v>
      </c>
    </row>
    <row r="190" spans="3:14">
      <c r="C190" s="1278">
        <v>1901002</v>
      </c>
      <c r="D190" s="1377"/>
      <c r="E190" s="844" t="s">
        <v>1585</v>
      </c>
      <c r="F190" s="844"/>
      <c r="G190" s="844" t="s">
        <v>1588</v>
      </c>
      <c r="H190" s="1495">
        <v>217419.09</v>
      </c>
      <c r="I190" s="846" t="s">
        <v>328</v>
      </c>
      <c r="J190" s="1378">
        <f t="shared" si="15"/>
        <v>217419.09</v>
      </c>
      <c r="K190" s="278" t="str">
        <f t="shared" si="16"/>
        <v xml:space="preserve"> </v>
      </c>
      <c r="L190" s="278" t="str">
        <f t="shared" si="17"/>
        <v xml:space="preserve"> </v>
      </c>
      <c r="M190" s="1378" t="str">
        <f t="shared" si="18"/>
        <v xml:space="preserve"> </v>
      </c>
      <c r="N190" s="1378" t="str">
        <f t="shared" si="19"/>
        <v xml:space="preserve"> </v>
      </c>
    </row>
    <row r="191" spans="3:14">
      <c r="C191" s="844"/>
      <c r="D191" s="1377"/>
      <c r="E191" s="844"/>
      <c r="F191" s="844"/>
      <c r="G191" s="844"/>
      <c r="H191" s="1495"/>
      <c r="I191" s="846"/>
      <c r="J191" s="1378"/>
      <c r="K191" s="278"/>
      <c r="L191" s="278"/>
      <c r="M191" s="1378"/>
      <c r="N191" s="1378"/>
    </row>
    <row r="192" spans="3:14">
      <c r="C192" s="844"/>
      <c r="D192" s="1377"/>
      <c r="E192" s="844"/>
      <c r="F192" s="844"/>
      <c r="G192" s="844" t="s">
        <v>1467</v>
      </c>
      <c r="H192" s="1495">
        <v>1448230.3</v>
      </c>
      <c r="I192" s="846"/>
      <c r="J192" s="846">
        <v>1285562</v>
      </c>
      <c r="K192" s="846"/>
      <c r="L192" s="846">
        <v>53885</v>
      </c>
      <c r="M192" s="846"/>
      <c r="N192" s="846">
        <v>108784</v>
      </c>
    </row>
    <row r="193" spans="3:15">
      <c r="C193" s="844"/>
      <c r="D193" s="1377"/>
      <c r="E193" s="844"/>
      <c r="F193" s="844"/>
      <c r="G193" s="844"/>
      <c r="H193" s="1495"/>
      <c r="I193" s="846"/>
      <c r="J193" s="1378" t="str">
        <f>IF(I193="e",H193," ")</f>
        <v xml:space="preserve"> </v>
      </c>
      <c r="K193" s="278" t="str">
        <f>IF($I193="T",$H193," ")</f>
        <v xml:space="preserve"> </v>
      </c>
      <c r="L193" s="278" t="str">
        <f>IF($I193="PTD",$H193," ")</f>
        <v xml:space="preserve"> </v>
      </c>
      <c r="M193" s="1378" t="str">
        <f>IF($I193="T&amp;D",$H193," ")</f>
        <v xml:space="preserve"> </v>
      </c>
      <c r="N193" s="1378" t="str">
        <f>IF(I193="Labor",H193," ")</f>
        <v xml:space="preserve"> </v>
      </c>
    </row>
    <row r="194" spans="3:15">
      <c r="C194" s="40"/>
      <c r="D194" s="1119"/>
      <c r="E194" s="40"/>
      <c r="G194" s="40"/>
      <c r="H194" s="1127"/>
      <c r="I194" s="278"/>
      <c r="J194" s="1122"/>
      <c r="K194" s="1122"/>
      <c r="L194" s="278"/>
      <c r="M194" s="1122"/>
      <c r="N194" s="1122"/>
    </row>
    <row r="195" spans="3:15">
      <c r="C195" s="706">
        <v>190.1</v>
      </c>
      <c r="D195" s="38"/>
      <c r="G195" s="194" t="s">
        <v>185</v>
      </c>
      <c r="H195" s="1123">
        <f>SUM(H117:H193)</f>
        <v>113842055.69999999</v>
      </c>
      <c r="J195" s="1123">
        <f>SUM(J117:J193)</f>
        <v>102734950.75999999</v>
      </c>
      <c r="K195" s="1123">
        <f>SUM(K117:K193)</f>
        <v>0</v>
      </c>
      <c r="L195" s="1123">
        <f>SUM(L117:L193)</f>
        <v>4243839.5500000007</v>
      </c>
      <c r="M195" s="1123">
        <f>SUM(M117:M193)</f>
        <v>0</v>
      </c>
      <c r="N195" s="1123">
        <f>SUM(N117:N193)</f>
        <v>6863266.0899999999</v>
      </c>
      <c r="O195" s="1117"/>
    </row>
    <row r="196" spans="3:15">
      <c r="G196" s="729" t="s">
        <v>151</v>
      </c>
      <c r="H196" s="1380"/>
      <c r="I196" s="675"/>
    </row>
    <row r="198" spans="3:15">
      <c r="J198" s="268"/>
    </row>
    <row r="215" spans="3:8">
      <c r="C215" s="40"/>
      <c r="D215" s="1119"/>
      <c r="E215" s="40"/>
      <c r="G215" s="40"/>
      <c r="H215" s="1126"/>
    </row>
    <row r="251" spans="3:6">
      <c r="C251" s="40"/>
      <c r="D251" s="40"/>
      <c r="E251" s="40"/>
      <c r="F251" s="1124"/>
    </row>
    <row r="252" spans="3:6">
      <c r="C252" s="40"/>
      <c r="D252" s="40"/>
      <c r="E252" s="40"/>
    </row>
    <row r="253" spans="3:6">
      <c r="C253" s="40"/>
      <c r="D253" s="40"/>
      <c r="E253" s="40"/>
    </row>
    <row r="254" spans="3:6">
      <c r="C254" s="40"/>
      <c r="D254" s="40"/>
      <c r="E254" s="40"/>
    </row>
    <row r="255" spans="3:6">
      <c r="C255" s="40"/>
      <c r="D255" s="40"/>
      <c r="E255" s="40"/>
    </row>
    <row r="256" spans="3:6">
      <c r="C256" s="40"/>
      <c r="D256" s="40"/>
      <c r="E256" s="40"/>
    </row>
    <row r="257" spans="3:5">
      <c r="C257" s="40"/>
      <c r="D257" s="40"/>
      <c r="E257" s="40"/>
    </row>
    <row r="258" spans="3:5">
      <c r="C258" s="40"/>
      <c r="D258" s="40"/>
      <c r="E258" s="40"/>
    </row>
    <row r="259" spans="3:5">
      <c r="C259" s="40"/>
      <c r="D259" s="40"/>
      <c r="E259" s="40"/>
    </row>
    <row r="260" spans="3:5">
      <c r="C260" s="40"/>
      <c r="D260" s="40"/>
      <c r="E260" s="40"/>
    </row>
    <row r="261" spans="3:5">
      <c r="C261" s="40"/>
      <c r="D261" s="40"/>
      <c r="E261" s="40"/>
    </row>
    <row r="262" spans="3:5">
      <c r="C262" s="40"/>
      <c r="D262" s="40"/>
      <c r="E262" s="40"/>
    </row>
    <row r="263" spans="3:5">
      <c r="C263" s="40"/>
      <c r="D263" s="40"/>
      <c r="E263" s="40"/>
    </row>
    <row r="264" spans="3:5">
      <c r="C264" s="40"/>
      <c r="D264" s="40"/>
      <c r="E264" s="40"/>
    </row>
    <row r="265" spans="3:5">
      <c r="C265" s="40"/>
      <c r="D265" s="40"/>
      <c r="E265" s="40"/>
    </row>
    <row r="266" spans="3:5">
      <c r="C266" s="40"/>
      <c r="D266" s="40"/>
      <c r="E266" s="40"/>
    </row>
    <row r="267" spans="3:5">
      <c r="C267" s="40"/>
      <c r="D267" s="40"/>
      <c r="E267" s="40"/>
    </row>
    <row r="268" spans="3:5">
      <c r="C268" s="40"/>
      <c r="D268" s="40"/>
      <c r="E268" s="40"/>
    </row>
    <row r="269" spans="3:5">
      <c r="C269" s="40"/>
      <c r="D269" s="40"/>
      <c r="E269" s="40"/>
    </row>
    <row r="270" spans="3:5">
      <c r="D270" s="38"/>
    </row>
    <row r="271" spans="3:5">
      <c r="D271" s="38"/>
    </row>
    <row r="272" spans="3:5">
      <c r="D272" s="38"/>
    </row>
    <row r="273" spans="3:7">
      <c r="D273" s="38"/>
    </row>
    <row r="274" spans="3:7">
      <c r="D274" s="38"/>
    </row>
    <row r="275" spans="3:7">
      <c r="D275" s="38"/>
    </row>
    <row r="276" spans="3:7">
      <c r="D276" s="38"/>
    </row>
    <row r="277" spans="3:7">
      <c r="D277" s="38"/>
    </row>
    <row r="278" spans="3:7">
      <c r="D278" s="38"/>
    </row>
    <row r="279" spans="3:7">
      <c r="D279" s="38"/>
    </row>
    <row r="280" spans="3:7">
      <c r="D280" s="38"/>
    </row>
    <row r="281" spans="3:7">
      <c r="D281" s="38"/>
    </row>
    <row r="282" spans="3:7">
      <c r="D282" s="38"/>
    </row>
    <row r="283" spans="3:7">
      <c r="D283" s="38"/>
    </row>
    <row r="284" spans="3:7">
      <c r="D284" s="38"/>
    </row>
    <row r="285" spans="3:7">
      <c r="D285" s="38"/>
    </row>
    <row r="286" spans="3:7">
      <c r="D286" s="38"/>
    </row>
    <row r="287" spans="3:7">
      <c r="C287" s="40"/>
      <c r="D287" s="1119"/>
      <c r="E287" s="40"/>
      <c r="F287" s="40"/>
      <c r="G287" s="40"/>
    </row>
    <row r="288" spans="3:7">
      <c r="C288" s="40"/>
      <c r="D288" s="1119"/>
      <c r="E288" s="40"/>
      <c r="F288" s="40"/>
      <c r="G288" s="40"/>
    </row>
    <row r="289" spans="3:7">
      <c r="C289" s="40"/>
      <c r="D289" s="1119"/>
      <c r="E289" s="40"/>
      <c r="F289" s="40"/>
      <c r="G289" s="40"/>
    </row>
    <row r="290" spans="3:7">
      <c r="C290" s="40"/>
      <c r="D290" s="1119"/>
      <c r="E290" s="40"/>
      <c r="F290" s="40"/>
      <c r="G290" s="40"/>
    </row>
    <row r="291" spans="3:7">
      <c r="C291" s="40"/>
      <c r="D291" s="1119"/>
      <c r="E291" s="40"/>
      <c r="F291" s="40"/>
      <c r="G291" s="40"/>
    </row>
    <row r="292" spans="3:7">
      <c r="C292" s="40"/>
      <c r="D292" s="1119"/>
      <c r="E292" s="40"/>
      <c r="F292" s="40"/>
      <c r="G292" s="40"/>
    </row>
  </sheetData>
  <mergeCells count="5">
    <mergeCell ref="C2:N2"/>
    <mergeCell ref="C3:N3"/>
    <mergeCell ref="C4:N4"/>
    <mergeCell ref="C5:N5"/>
    <mergeCell ref="J7:N7"/>
  </mergeCells>
  <conditionalFormatting sqref="O195 O112 O50">
    <cfRule type="cellIs" dxfId="2" priority="1" stopIfTrue="1" operator="equal">
      <formula>FALSE</formula>
    </cfRule>
  </conditionalFormatting>
  <printOptions horizontalCentered="1"/>
  <pageMargins left="0.25" right="0.25" top="0.5" bottom="0.25" header="0.65" footer="0.5"/>
  <pageSetup scale="54" fitToHeight="0" orientation="portrait" r:id="rId1"/>
  <headerFooter alignWithMargins="0">
    <oddHeader xml:space="preserve">&amp;R&amp;18AEP - SPP Formula Rate
TCOS - WS-C2
Page: &amp;P of &amp;N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104"/>
  <sheetViews>
    <sheetView zoomScale="81" zoomScaleNormal="81" zoomScaleSheetLayoutView="75" workbookViewId="0">
      <selection activeCell="O34" sqref="O34"/>
    </sheetView>
  </sheetViews>
  <sheetFormatPr defaultColWidth="14.7109375" defaultRowHeight="15"/>
  <cols>
    <col min="1" max="1" width="7.28515625" style="15" customWidth="1"/>
    <col min="2" max="2" width="8.5703125" style="3" bestFit="1" customWidth="1"/>
    <col min="3" max="3" width="2" style="15" customWidth="1"/>
    <col min="4" max="4" width="78" style="15" customWidth="1"/>
    <col min="5" max="5" width="19.42578125" style="15" customWidth="1"/>
    <col min="6" max="6" width="29.85546875" style="15" customWidth="1"/>
    <col min="7" max="7" width="2.5703125" style="15" customWidth="1"/>
    <col min="8" max="8" width="19.42578125" style="15" bestFit="1" customWidth="1"/>
    <col min="9" max="9" width="2.5703125" style="15" customWidth="1"/>
    <col min="10" max="10" width="17.7109375" style="15" customWidth="1"/>
    <col min="11" max="11" width="2.5703125" style="15" customWidth="1"/>
    <col min="12" max="12" width="19.7109375" style="15" customWidth="1"/>
    <col min="13" max="16384" width="14.7109375" style="15"/>
  </cols>
  <sheetData>
    <row r="1" spans="1:13">
      <c r="A1" s="731"/>
      <c r="B1" s="731"/>
      <c r="C1" s="731"/>
      <c r="D1" s="731"/>
      <c r="E1" s="731"/>
      <c r="F1" s="731"/>
      <c r="G1" s="731"/>
      <c r="I1" s="5"/>
      <c r="J1" s="731"/>
      <c r="K1" s="731"/>
      <c r="L1" s="251"/>
      <c r="M1" s="732"/>
    </row>
    <row r="2" spans="1:13">
      <c r="B2" s="37"/>
      <c r="C2" s="5"/>
      <c r="D2" s="5"/>
      <c r="E2" s="5"/>
      <c r="F2" s="5"/>
      <c r="G2" s="5"/>
      <c r="I2" s="5"/>
      <c r="J2" s="5"/>
      <c r="K2" s="5"/>
      <c r="L2" s="251"/>
    </row>
    <row r="3" spans="1:13">
      <c r="B3" s="37"/>
      <c r="C3" s="5"/>
      <c r="D3" s="14"/>
      <c r="E3" s="14"/>
      <c r="F3" s="191" t="s">
        <v>1121</v>
      </c>
      <c r="J3" s="14"/>
      <c r="K3" s="7"/>
    </row>
    <row r="4" spans="1:13">
      <c r="B4" s="37"/>
      <c r="C4" s="5"/>
      <c r="D4" s="14"/>
      <c r="E4" s="14"/>
      <c r="F4" s="764" t="s">
        <v>140</v>
      </c>
      <c r="J4" s="8"/>
      <c r="K4" s="7"/>
    </row>
    <row r="5" spans="1:13">
      <c r="B5" s="37"/>
      <c r="C5" s="5"/>
      <c r="D5" s="14"/>
      <c r="E5" s="14"/>
      <c r="F5" s="733" t="str">
        <f>"For rates effective January 1, "&amp;'PSO TCOS'!N1&amp;""</f>
        <v>For rates effective January 1, 2019</v>
      </c>
      <c r="I5" s="7"/>
      <c r="J5" s="7"/>
      <c r="K5" s="7"/>
      <c r="L5" s="7"/>
    </row>
    <row r="6" spans="1:13">
      <c r="B6" s="35"/>
      <c r="C6" s="30"/>
      <c r="D6" s="7"/>
      <c r="E6" s="7"/>
      <c r="I6" s="7"/>
      <c r="J6" s="379"/>
      <c r="K6" s="379"/>
      <c r="L6" s="7"/>
    </row>
    <row r="7" spans="1:13" ht="15.75">
      <c r="B7" s="35"/>
      <c r="C7" s="30"/>
      <c r="D7" s="7"/>
      <c r="E7" s="7"/>
      <c r="F7" s="377" t="s">
        <v>148</v>
      </c>
      <c r="I7" s="7"/>
      <c r="J7" s="7"/>
      <c r="K7" s="7"/>
    </row>
    <row r="8" spans="1:13" ht="15.75">
      <c r="B8" s="35"/>
      <c r="C8" s="30"/>
      <c r="D8" s="7"/>
      <c r="E8" s="7"/>
      <c r="F8" s="7"/>
      <c r="G8" s="379"/>
      <c r="H8" s="735" t="s">
        <v>141</v>
      </c>
      <c r="I8" s="380"/>
      <c r="J8" s="380" t="s">
        <v>142</v>
      </c>
      <c r="K8" s="380"/>
      <c r="L8" s="735" t="s">
        <v>143</v>
      </c>
    </row>
    <row r="9" spans="1:13" ht="15.75">
      <c r="B9" s="35" t="s">
        <v>345</v>
      </c>
      <c r="C9" s="30"/>
      <c r="D9" s="7"/>
      <c r="E9" s="7"/>
      <c r="F9" s="7"/>
      <c r="G9" s="7"/>
      <c r="H9" s="735" t="s">
        <v>45</v>
      </c>
      <c r="I9" s="380"/>
      <c r="J9" s="380" t="s">
        <v>45</v>
      </c>
      <c r="K9" s="380"/>
      <c r="L9" s="380" t="s">
        <v>45</v>
      </c>
    </row>
    <row r="10" spans="1:13" ht="16.5" thickBot="1">
      <c r="B10" s="381" t="s">
        <v>294</v>
      </c>
      <c r="C10" s="25"/>
      <c r="D10" s="7"/>
      <c r="E10" s="7"/>
      <c r="F10" s="25"/>
      <c r="G10" s="7"/>
      <c r="H10" s="735" t="s">
        <v>144</v>
      </c>
      <c r="I10" s="380"/>
      <c r="J10" s="735" t="s">
        <v>144</v>
      </c>
      <c r="K10" s="380"/>
      <c r="L10" s="735" t="s">
        <v>144</v>
      </c>
    </row>
    <row r="11" spans="1:13">
      <c r="B11" s="254"/>
      <c r="C11" s="25"/>
      <c r="D11" s="7"/>
      <c r="E11" s="7"/>
      <c r="F11" s="25"/>
      <c r="G11" s="7"/>
      <c r="I11" s="7"/>
      <c r="K11" s="7"/>
    </row>
    <row r="12" spans="1:13">
      <c r="B12" s="254"/>
      <c r="C12" s="25"/>
      <c r="D12" s="7"/>
      <c r="E12" s="7"/>
      <c r="F12" s="25"/>
      <c r="G12" s="7"/>
      <c r="I12" s="7"/>
      <c r="K12" s="7"/>
    </row>
    <row r="13" spans="1:13" ht="15.75">
      <c r="A13" s="735" t="s">
        <v>145</v>
      </c>
      <c r="B13" s="1074" t="str">
        <f>"Schedule 1 ARR For "&amp;'PSO TCOS'!N1&amp;" Rate Year"</f>
        <v>Schedule 1 ARR For 2019 Rate Year</v>
      </c>
      <c r="C13" s="25"/>
      <c r="D13" s="7"/>
      <c r="E13" s="7"/>
      <c r="F13" s="25"/>
      <c r="G13" s="7"/>
      <c r="I13" s="7"/>
      <c r="J13" s="7"/>
      <c r="K13" s="7"/>
    </row>
    <row r="14" spans="1:13">
      <c r="B14" s="35">
        <v>1</v>
      </c>
      <c r="C14" s="30"/>
      <c r="D14" s="739" t="str">
        <f>"Total Load Dispatch &amp; Scheduling (Account 561) (TCOS Line "&amp;'PSO TCOS'!B127&amp;")"</f>
        <v>Total Load Dispatch &amp; Scheduling (Account 561) (TCOS Line 65)</v>
      </c>
      <c r="E14" s="739"/>
      <c r="F14" s="7"/>
      <c r="G14" s="247"/>
      <c r="H14" s="765">
        <f>+J14+L14</f>
        <v>33182569.833378002</v>
      </c>
      <c r="I14" s="20"/>
      <c r="J14" s="765">
        <f>+'PSO TCOS'!G127</f>
        <v>16315680.867601302</v>
      </c>
      <c r="K14" s="22"/>
      <c r="L14" s="765">
        <f>+'SWEPCO TCOS'!G127</f>
        <v>16866888.965776701</v>
      </c>
    </row>
    <row r="15" spans="1:13">
      <c r="B15" s="35">
        <f>+B14+1</f>
        <v>2</v>
      </c>
      <c r="C15" s="30"/>
      <c r="D15" s="739" t="s">
        <v>606</v>
      </c>
      <c r="E15" s="739"/>
      <c r="F15" s="7"/>
      <c r="G15" s="247"/>
      <c r="H15" s="765">
        <f>+J15+L15</f>
        <v>28914674.999999899</v>
      </c>
      <c r="I15" s="20"/>
      <c r="J15" s="1279">
        <f>+'[4]Inputs 2019'!$E$7</f>
        <v>14495833</v>
      </c>
      <c r="K15" s="13"/>
      <c r="L15" s="1279">
        <f>+'[4]Inputs 2019'!$H$7</f>
        <v>14418841.999999899</v>
      </c>
    </row>
    <row r="16" spans="1:13">
      <c r="B16" s="35">
        <f>+B15+1</f>
        <v>3</v>
      </c>
      <c r="C16" s="30"/>
      <c r="D16" s="739" t="s">
        <v>607</v>
      </c>
      <c r="E16" s="739"/>
      <c r="F16" s="7"/>
      <c r="G16" s="247"/>
      <c r="H16" s="766">
        <f>+J16+L16</f>
        <v>2268000</v>
      </c>
      <c r="I16" s="20"/>
      <c r="J16" s="1280">
        <f>+'[4]Inputs 2019'!$E$8</f>
        <v>1140000</v>
      </c>
      <c r="K16" s="13"/>
      <c r="L16" s="1280">
        <f>+'[4]Inputs 2019'!$H$8</f>
        <v>1128000</v>
      </c>
    </row>
    <row r="17" spans="1:12">
      <c r="B17" s="35">
        <f>+B16+1</f>
        <v>4</v>
      </c>
      <c r="C17" s="30"/>
      <c r="D17" s="739" t="s">
        <v>75</v>
      </c>
      <c r="E17" s="739"/>
      <c r="F17" s="30" t="str">
        <f>"(Line "&amp;B14&amp;" - Line "&amp;B15&amp;" - Line "&amp;B16&amp;")"</f>
        <v>(Line 1 - Line 2 - Line 3)</v>
      </c>
      <c r="G17" s="247"/>
      <c r="H17" s="765">
        <f>+H14-H15-H16</f>
        <v>1999894.8333781026</v>
      </c>
      <c r="I17" s="20"/>
      <c r="J17" s="765">
        <f>+J14-J15-J16</f>
        <v>679847.86760130152</v>
      </c>
      <c r="K17" s="22"/>
      <c r="L17" s="765">
        <f>+L14-L15-L16</f>
        <v>1320046.9657768011</v>
      </c>
    </row>
    <row r="18" spans="1:12">
      <c r="B18" s="15"/>
      <c r="C18" s="30"/>
      <c r="D18" s="739"/>
      <c r="E18" s="739"/>
      <c r="F18" s="30"/>
      <c r="G18" s="247"/>
      <c r="H18" s="765"/>
      <c r="I18" s="20"/>
      <c r="J18" s="765"/>
      <c r="K18" s="22"/>
      <c r="L18" s="765"/>
    </row>
    <row r="19" spans="1:12">
      <c r="B19" s="35">
        <f>+B17+1</f>
        <v>5</v>
      </c>
      <c r="C19" s="30"/>
      <c r="D19" s="767" t="s">
        <v>608</v>
      </c>
      <c r="E19" s="739"/>
      <c r="F19" s="30"/>
      <c r="G19" s="247"/>
      <c r="H19" s="737">
        <f>+J19+L19</f>
        <v>373080.95999999996</v>
      </c>
      <c r="I19" s="5"/>
      <c r="J19" s="1279">
        <v>169877.22999999998</v>
      </c>
      <c r="K19" s="13"/>
      <c r="L19" s="1279">
        <v>203203.73</v>
      </c>
    </row>
    <row r="20" spans="1:12" ht="15.75" thickBot="1">
      <c r="B20" s="35"/>
      <c r="C20" s="30"/>
      <c r="D20" s="739"/>
      <c r="E20" s="739"/>
      <c r="F20" s="30"/>
      <c r="G20" s="247"/>
      <c r="H20" s="765"/>
      <c r="I20" s="20"/>
      <c r="J20" s="765"/>
      <c r="K20" s="22"/>
      <c r="L20" s="765"/>
    </row>
    <row r="21" spans="1:12" ht="15.75" thickBot="1">
      <c r="A21" s="768"/>
      <c r="B21" s="35">
        <f>+B19+1</f>
        <v>6</v>
      </c>
      <c r="C21" s="30"/>
      <c r="D21" s="1080" t="s">
        <v>609</v>
      </c>
      <c r="E21" s="769"/>
      <c r="F21" s="748" t="str">
        <f>"(Line "&amp;B17&amp;" - Line "&amp;B19&amp;")"</f>
        <v>(Line 4 - Line 5)</v>
      </c>
      <c r="G21" s="770"/>
      <c r="H21" s="771">
        <f>+H17-H19</f>
        <v>1626813.8733781027</v>
      </c>
      <c r="I21" s="772"/>
      <c r="J21" s="771">
        <f>+J17-J19</f>
        <v>509970.63760130154</v>
      </c>
      <c r="K21" s="773"/>
      <c r="L21" s="774">
        <f>+L17-L19</f>
        <v>1116843.2357768011</v>
      </c>
    </row>
    <row r="22" spans="1:12">
      <c r="A22" s="768"/>
      <c r="B22" s="35"/>
      <c r="C22" s="30"/>
      <c r="D22" s="739"/>
      <c r="E22" s="739"/>
      <c r="F22" s="247"/>
      <c r="G22" s="5"/>
      <c r="H22" s="746"/>
      <c r="I22" s="5"/>
      <c r="J22" s="741">
        <f>J21/H21</f>
        <v>0.31347817101063941</v>
      </c>
      <c r="K22" s="5"/>
      <c r="L22" s="741">
        <f>1-J22</f>
        <v>0.68652182898936065</v>
      </c>
    </row>
    <row r="23" spans="1:12">
      <c r="B23" s="35"/>
      <c r="C23" s="30"/>
      <c r="D23" s="739"/>
      <c r="E23" s="739"/>
      <c r="F23" s="247"/>
      <c r="G23" s="5"/>
      <c r="H23" s="746"/>
      <c r="I23" s="5"/>
      <c r="J23" s="746"/>
      <c r="K23" s="742"/>
      <c r="L23" s="746"/>
    </row>
    <row r="24" spans="1:12" ht="15.75">
      <c r="A24" s="735" t="s">
        <v>146</v>
      </c>
      <c r="B24" s="1074" t="str">
        <f>"Schedule 1 "&amp;'PSO TCOS'!N1&amp;" Rate Year Calculations"</f>
        <v>Schedule 1 2019 Rate Year Calculations</v>
      </c>
      <c r="C24" s="25"/>
      <c r="D24" s="7"/>
      <c r="E24" s="7"/>
      <c r="F24" s="25"/>
      <c r="G24" s="7"/>
      <c r="I24" s="7"/>
      <c r="J24" s="737"/>
      <c r="K24" s="742"/>
      <c r="L24" s="737"/>
    </row>
    <row r="25" spans="1:12">
      <c r="A25" s="768"/>
      <c r="B25" s="35">
        <f>+B21+1</f>
        <v>7</v>
      </c>
      <c r="C25" s="30"/>
      <c r="D25" s="739" t="s">
        <v>610</v>
      </c>
      <c r="E25" s="739"/>
      <c r="F25" s="32" t="str">
        <f>"(Load WS, ln "&amp;'Load WS'!A32&amp;")"</f>
        <v>(Load WS, ln 20)</v>
      </c>
      <c r="G25" s="247"/>
      <c r="H25" s="737">
        <f>+'Load WS'!S32</f>
        <v>8394</v>
      </c>
      <c r="I25" s="7" t="s">
        <v>147</v>
      </c>
      <c r="J25" s="737"/>
      <c r="K25" s="742"/>
      <c r="L25" s="737"/>
    </row>
    <row r="26" spans="1:12">
      <c r="A26" s="768"/>
      <c r="B26" s="35"/>
      <c r="C26" s="30"/>
      <c r="D26" s="739"/>
      <c r="E26" s="739"/>
      <c r="F26" s="776"/>
      <c r="G26" s="247"/>
      <c r="H26" s="775"/>
      <c r="I26" s="7"/>
      <c r="J26" s="737"/>
      <c r="K26" s="742"/>
      <c r="L26" s="737"/>
    </row>
    <row r="27" spans="1:12">
      <c r="A27" s="768"/>
      <c r="B27" s="35">
        <f>+B25+1</f>
        <v>8</v>
      </c>
      <c r="C27" s="494"/>
      <c r="D27" s="739" t="str">
        <f>"Annual Point-to-Point Rate in $/MW - Year"</f>
        <v>Annual Point-to-Point Rate in $/MW - Year</v>
      </c>
      <c r="E27" s="777"/>
      <c r="F27" s="494" t="str">
        <f>"(Line "&amp;B21&amp;" / Line "&amp;B25&amp;")"</f>
        <v>(Line 6 / Line 7)</v>
      </c>
      <c r="G27" s="494"/>
      <c r="H27" s="15">
        <f>+H21/H25</f>
        <v>193.80675165333602</v>
      </c>
      <c r="I27" s="494"/>
      <c r="J27" s="778"/>
      <c r="K27" s="742"/>
      <c r="L27" s="737"/>
    </row>
    <row r="28" spans="1:12">
      <c r="A28" s="768"/>
      <c r="B28" s="35">
        <f>+B27+1</f>
        <v>9</v>
      </c>
      <c r="C28" s="494"/>
      <c r="D28" s="739" t="str">
        <f>"Monthly Point-to-Point Rate (ln "&amp;B27&amp;" / 12)  $/MW - Month"</f>
        <v>Monthly Point-to-Point Rate (ln 8 / 12)  $/MW - Month</v>
      </c>
      <c r="E28" s="777"/>
      <c r="F28" s="494" t="str">
        <f>"(Line "&amp;B27&amp;" / 12)"</f>
        <v>(Line 8 / 12)</v>
      </c>
      <c r="G28" s="494"/>
      <c r="H28" s="15">
        <f>+H27/12</f>
        <v>16.150562637778002</v>
      </c>
      <c r="I28" s="494"/>
      <c r="J28" s="778"/>
      <c r="K28" s="742"/>
      <c r="L28" s="737"/>
    </row>
    <row r="29" spans="1:12">
      <c r="A29" s="768"/>
      <c r="B29" s="35">
        <f>+B28+1</f>
        <v>10</v>
      </c>
      <c r="C29" s="494"/>
      <c r="D29" s="739" t="str">
        <f>"Weekly Point-to-Point Rate (ln "&amp;B27&amp;" / 52)  $/MW - Weekly"</f>
        <v>Weekly Point-to-Point Rate (ln 8 / 52)  $/MW - Weekly</v>
      </c>
      <c r="E29" s="777"/>
      <c r="F29" s="494" t="str">
        <f>"(Line "&amp;B27&amp;" / 52)"</f>
        <v>(Line 8 / 52)</v>
      </c>
      <c r="G29" s="494"/>
      <c r="H29" s="15">
        <f>+H27/52</f>
        <v>3.7270529164103081</v>
      </c>
      <c r="I29" s="494"/>
      <c r="J29" s="778"/>
      <c r="K29" s="742"/>
      <c r="L29" s="737"/>
    </row>
    <row r="30" spans="1:12">
      <c r="A30" s="768"/>
      <c r="B30" s="35">
        <f>+B29+1</f>
        <v>11</v>
      </c>
      <c r="C30" s="494"/>
      <c r="D30" s="739" t="str">
        <f>"Daily Off-Peak Point-to-Point Rate (ln "&amp;B27&amp;" / 365)  $/MW - Day"</f>
        <v>Daily Off-Peak Point-to-Point Rate (ln 8 / 365)  $/MW - Day</v>
      </c>
      <c r="E30" s="777"/>
      <c r="F30" s="494" t="str">
        <f>"(Line "&amp;B27&amp;" / 365)"</f>
        <v>(Line 8 / 365)</v>
      </c>
      <c r="G30" s="494"/>
      <c r="H30" s="15">
        <f>+H27/365</f>
        <v>0.53097740178996167</v>
      </c>
      <c r="I30" s="494"/>
      <c r="J30" s="778"/>
      <c r="K30" s="742"/>
      <c r="L30" s="737"/>
    </row>
    <row r="31" spans="1:12">
      <c r="A31" s="768"/>
      <c r="B31" s="35">
        <f>+B30+1</f>
        <v>12</v>
      </c>
      <c r="C31" s="494"/>
      <c r="D31" s="739" t="str">
        <f>"Hourly Off-Peak Point-to-Point Rate (ln "&amp;B27&amp;" / 8760)  $/MW - Hour"</f>
        <v>Hourly Off-Peak Point-to-Point Rate (ln 8 / 8760)  $/MW - Hour</v>
      </c>
      <c r="E31" s="777"/>
      <c r="F31" s="494" t="str">
        <f>"(Line "&amp;B27&amp;" / 8760)"</f>
        <v>(Line 8 / 8760)</v>
      </c>
      <c r="G31" s="494"/>
      <c r="H31" s="15">
        <f>+H27/8760</f>
        <v>2.2124058407915072E-2</v>
      </c>
      <c r="I31" s="494"/>
      <c r="J31" s="778"/>
      <c r="K31" s="742"/>
      <c r="L31" s="737"/>
    </row>
    <row r="32" spans="1:12">
      <c r="B32" s="35"/>
      <c r="C32" s="30"/>
      <c r="D32" s="739"/>
      <c r="E32" s="739"/>
      <c r="F32" s="247"/>
      <c r="G32" s="5"/>
      <c r="H32" s="737"/>
      <c r="I32" s="5"/>
      <c r="J32" s="737"/>
      <c r="K32" s="742"/>
      <c r="L32" s="737"/>
    </row>
    <row r="33" spans="2:23">
      <c r="B33" s="35"/>
      <c r="C33" s="494"/>
      <c r="D33" s="739"/>
      <c r="E33" s="739"/>
      <c r="F33" s="494"/>
      <c r="G33" s="494"/>
      <c r="I33" s="494"/>
      <c r="J33" s="740"/>
      <c r="K33" s="5"/>
      <c r="L33" s="740"/>
      <c r="M33" s="33"/>
      <c r="N33" s="33"/>
      <c r="O33" s="33"/>
      <c r="P33" s="33"/>
      <c r="Q33" s="33"/>
      <c r="R33" s="33"/>
      <c r="S33" s="33"/>
      <c r="T33" s="33"/>
      <c r="U33" s="33"/>
      <c r="V33" s="33"/>
      <c r="W33" s="33"/>
    </row>
    <row r="34" spans="2:23">
      <c r="B34" s="35"/>
      <c r="C34" s="494"/>
      <c r="D34" s="739"/>
      <c r="E34" s="739"/>
      <c r="F34" s="494"/>
      <c r="G34" s="494"/>
      <c r="I34" s="494"/>
      <c r="J34" s="740"/>
      <c r="K34" s="5"/>
      <c r="L34" s="740"/>
      <c r="M34" s="33"/>
      <c r="N34" s="33"/>
      <c r="O34" s="33"/>
      <c r="P34" s="33"/>
      <c r="Q34" s="33"/>
      <c r="R34" s="33"/>
      <c r="S34" s="33"/>
      <c r="T34" s="33"/>
      <c r="U34" s="33"/>
      <c r="V34" s="33"/>
      <c r="W34" s="33"/>
    </row>
    <row r="35" spans="2:23">
      <c r="B35" s="779"/>
      <c r="C35" s="494"/>
      <c r="D35" s="494"/>
      <c r="E35" s="494"/>
      <c r="F35" s="494"/>
      <c r="G35" s="494"/>
      <c r="H35" s="33"/>
      <c r="I35" s="494"/>
      <c r="J35" s="494"/>
      <c r="K35" s="494"/>
      <c r="L35" s="494"/>
      <c r="M35" s="33"/>
      <c r="N35" s="33"/>
      <c r="O35" s="33"/>
      <c r="P35" s="33"/>
      <c r="Q35" s="33"/>
      <c r="R35" s="33"/>
      <c r="S35" s="33"/>
      <c r="T35" s="33"/>
      <c r="U35" s="33"/>
      <c r="V35" s="33"/>
      <c r="W35" s="33"/>
    </row>
    <row r="36" spans="2:23">
      <c r="B36" s="779"/>
      <c r="C36" s="494"/>
      <c r="D36" s="494"/>
      <c r="E36" s="494"/>
      <c r="F36" s="494"/>
      <c r="G36" s="494"/>
      <c r="H36" s="33"/>
      <c r="I36" s="494"/>
      <c r="J36" s="494"/>
      <c r="K36" s="494"/>
      <c r="L36" s="494"/>
      <c r="M36" s="33"/>
      <c r="N36" s="33"/>
      <c r="O36" s="33"/>
      <c r="P36" s="33"/>
      <c r="Q36" s="33"/>
      <c r="R36" s="33"/>
      <c r="S36" s="33"/>
      <c r="T36" s="33"/>
      <c r="U36" s="33"/>
      <c r="V36" s="33"/>
      <c r="W36" s="33"/>
    </row>
    <row r="37" spans="2:23">
      <c r="B37" s="779"/>
      <c r="C37" s="494"/>
      <c r="D37" s="494"/>
      <c r="E37" s="494"/>
      <c r="F37" s="494"/>
      <c r="G37" s="494"/>
      <c r="H37" s="33"/>
      <c r="I37" s="494"/>
      <c r="J37" s="494"/>
      <c r="K37" s="494"/>
      <c r="L37" s="494"/>
      <c r="M37" s="33"/>
      <c r="N37" s="33"/>
      <c r="O37" s="33"/>
      <c r="P37" s="33"/>
      <c r="Q37" s="33"/>
      <c r="R37" s="33"/>
      <c r="S37" s="33"/>
      <c r="T37" s="33"/>
      <c r="U37" s="33"/>
      <c r="V37" s="33"/>
      <c r="W37" s="33"/>
    </row>
    <row r="38" spans="2:23">
      <c r="B38" s="245"/>
      <c r="C38" s="7"/>
      <c r="D38" s="731"/>
      <c r="E38" s="731"/>
      <c r="F38" s="731"/>
      <c r="G38" s="731"/>
      <c r="H38" s="731" t="s">
        <v>291</v>
      </c>
      <c r="J38" s="731"/>
      <c r="K38" s="731"/>
      <c r="L38" s="731"/>
      <c r="M38" s="731"/>
      <c r="N38" s="731"/>
      <c r="O38" s="731"/>
      <c r="P38" s="731"/>
      <c r="Q38" s="731"/>
      <c r="R38" s="731"/>
      <c r="S38" s="731"/>
      <c r="T38" s="33"/>
      <c r="U38" s="33"/>
      <c r="V38" s="33"/>
      <c r="W38" s="33"/>
    </row>
    <row r="39" spans="2:23">
      <c r="B39" s="245"/>
      <c r="C39" s="7"/>
      <c r="D39" s="731"/>
      <c r="E39" s="731"/>
      <c r="F39" s="731"/>
      <c r="G39" s="731"/>
      <c r="H39" s="731"/>
      <c r="I39" s="731"/>
      <c r="J39" s="731"/>
      <c r="K39" s="731"/>
      <c r="L39" s="731"/>
      <c r="M39" s="731"/>
      <c r="N39" s="731"/>
      <c r="O39" s="731"/>
      <c r="P39" s="731"/>
      <c r="Q39" s="731"/>
      <c r="R39" s="731"/>
      <c r="S39" s="731"/>
      <c r="T39" s="33"/>
      <c r="U39" s="33"/>
      <c r="V39" s="33"/>
      <c r="W39" s="33"/>
    </row>
    <row r="40" spans="2:23">
      <c r="B40" s="245"/>
      <c r="C40" s="7"/>
      <c r="D40" s="731"/>
      <c r="E40" s="731"/>
      <c r="F40" s="731"/>
      <c r="G40" s="731"/>
      <c r="H40" s="731"/>
      <c r="I40" s="731"/>
      <c r="J40" s="731"/>
      <c r="K40" s="731"/>
      <c r="L40" s="731"/>
      <c r="M40" s="731"/>
      <c r="N40" s="731"/>
      <c r="O40" s="731"/>
      <c r="P40" s="731"/>
      <c r="Q40" s="731"/>
      <c r="R40" s="731"/>
      <c r="S40" s="731"/>
      <c r="T40" s="33"/>
      <c r="U40" s="33"/>
      <c r="V40" s="33"/>
      <c r="W40" s="33"/>
    </row>
    <row r="41" spans="2:23">
      <c r="B41" s="245"/>
      <c r="C41" s="7"/>
      <c r="D41" s="731"/>
      <c r="E41" s="731"/>
      <c r="F41" s="731"/>
      <c r="G41" s="731"/>
      <c r="H41" s="731"/>
      <c r="I41" s="731"/>
      <c r="J41" s="731"/>
      <c r="K41" s="731"/>
      <c r="L41" s="731"/>
      <c r="M41" s="731"/>
      <c r="N41" s="731"/>
      <c r="O41" s="731"/>
      <c r="P41" s="731"/>
      <c r="Q41" s="731"/>
      <c r="R41" s="731"/>
      <c r="S41" s="731"/>
      <c r="T41" s="33"/>
      <c r="U41" s="33"/>
      <c r="V41" s="33"/>
      <c r="W41" s="33"/>
    </row>
    <row r="42" spans="2:23">
      <c r="B42" s="245"/>
      <c r="C42" s="7"/>
      <c r="D42" s="731"/>
      <c r="E42" s="731"/>
      <c r="F42" s="731"/>
      <c r="G42" s="731"/>
      <c r="H42" s="731"/>
      <c r="I42" s="731"/>
      <c r="J42" s="731"/>
      <c r="K42" s="731"/>
      <c r="L42" s="731"/>
      <c r="M42" s="731"/>
      <c r="N42" s="731"/>
      <c r="O42" s="731"/>
      <c r="P42" s="731"/>
      <c r="Q42" s="731"/>
      <c r="R42" s="731"/>
      <c r="S42" s="731"/>
      <c r="T42" s="33"/>
      <c r="U42" s="33"/>
      <c r="V42" s="33"/>
      <c r="W42" s="33"/>
    </row>
    <row r="43" spans="2:23">
      <c r="B43" s="245"/>
      <c r="C43" s="7"/>
      <c r="D43" s="731"/>
      <c r="E43" s="731"/>
      <c r="F43" s="731"/>
      <c r="G43" s="731"/>
      <c r="H43" s="731"/>
      <c r="I43" s="731"/>
      <c r="J43" s="731"/>
      <c r="K43" s="731"/>
      <c r="L43" s="731"/>
      <c r="M43" s="731"/>
      <c r="N43" s="731"/>
      <c r="O43" s="731"/>
      <c r="P43" s="731"/>
      <c r="Q43" s="731"/>
      <c r="R43" s="731"/>
      <c r="S43" s="731"/>
      <c r="T43" s="33"/>
      <c r="U43" s="33"/>
      <c r="V43" s="33"/>
      <c r="W43" s="33"/>
    </row>
    <row r="44" spans="2:23">
      <c r="B44" s="245"/>
      <c r="C44" s="7"/>
      <c r="D44" s="731"/>
      <c r="E44" s="731"/>
      <c r="F44" s="731"/>
      <c r="G44" s="731"/>
      <c r="H44" s="731"/>
      <c r="I44" s="731"/>
      <c r="J44" s="731"/>
      <c r="K44" s="731"/>
      <c r="L44" s="731"/>
      <c r="M44" s="731"/>
      <c r="N44" s="731"/>
      <c r="O44" s="731"/>
      <c r="P44" s="731"/>
      <c r="Q44" s="731"/>
      <c r="R44" s="731"/>
      <c r="S44" s="731"/>
      <c r="T44" s="33"/>
      <c r="U44" s="33"/>
      <c r="V44" s="33"/>
      <c r="W44" s="33"/>
    </row>
    <row r="45" spans="2:23">
      <c r="B45" s="1"/>
      <c r="C45" s="33"/>
      <c r="D45" s="731"/>
      <c r="E45" s="731"/>
      <c r="F45" s="731"/>
      <c r="G45" s="731"/>
      <c r="H45" s="731"/>
      <c r="I45" s="731"/>
      <c r="J45" s="731"/>
      <c r="K45" s="731"/>
      <c r="L45" s="731"/>
      <c r="M45" s="731"/>
      <c r="N45" s="731"/>
      <c r="O45" s="731"/>
      <c r="P45" s="731"/>
      <c r="Q45" s="731"/>
      <c r="R45" s="731"/>
      <c r="S45" s="731"/>
      <c r="T45" s="33"/>
      <c r="U45" s="33"/>
      <c r="V45" s="33"/>
      <c r="W45" s="33"/>
    </row>
    <row r="46" spans="2:23">
      <c r="B46" s="1"/>
      <c r="C46" s="33"/>
      <c r="D46" s="731"/>
      <c r="E46" s="731"/>
      <c r="F46" s="731"/>
      <c r="G46" s="731"/>
      <c r="H46" s="731"/>
      <c r="I46" s="731"/>
      <c r="J46" s="731"/>
      <c r="K46" s="731"/>
      <c r="L46" s="731"/>
      <c r="M46" s="731"/>
      <c r="N46" s="731"/>
      <c r="O46" s="731"/>
      <c r="P46" s="731"/>
      <c r="Q46" s="731"/>
      <c r="R46" s="731"/>
      <c r="S46" s="731"/>
      <c r="T46" s="33"/>
      <c r="U46" s="33"/>
      <c r="V46" s="33"/>
      <c r="W46" s="33"/>
    </row>
    <row r="47" spans="2:23">
      <c r="B47" s="1"/>
      <c r="C47" s="33"/>
      <c r="D47" s="731"/>
      <c r="E47" s="731"/>
      <c r="F47" s="731"/>
      <c r="G47" s="731"/>
      <c r="H47" s="731"/>
      <c r="I47" s="731"/>
      <c r="J47" s="731"/>
      <c r="K47" s="731"/>
      <c r="L47" s="731"/>
      <c r="M47" s="731"/>
      <c r="N47" s="731"/>
      <c r="O47" s="731"/>
      <c r="P47" s="731"/>
      <c r="Q47" s="731"/>
      <c r="R47" s="731"/>
      <c r="S47" s="731"/>
      <c r="T47" s="33"/>
      <c r="U47" s="33"/>
      <c r="V47" s="33"/>
      <c r="W47" s="33"/>
    </row>
    <row r="48" spans="2:23">
      <c r="B48" s="1"/>
      <c r="C48" s="33"/>
      <c r="D48" s="731"/>
      <c r="E48" s="731"/>
      <c r="F48" s="731"/>
      <c r="G48" s="731"/>
      <c r="H48" s="731"/>
      <c r="I48" s="731"/>
      <c r="J48" s="731"/>
      <c r="K48" s="731"/>
      <c r="L48" s="731"/>
      <c r="M48" s="731"/>
      <c r="N48" s="731"/>
      <c r="O48" s="731"/>
      <c r="P48" s="731"/>
      <c r="Q48" s="731"/>
      <c r="R48" s="731"/>
      <c r="S48" s="731"/>
      <c r="T48" s="33"/>
      <c r="U48" s="33"/>
      <c r="V48" s="33"/>
      <c r="W48" s="33"/>
    </row>
    <row r="49" spans="2:23">
      <c r="B49" s="1"/>
      <c r="C49" s="33"/>
      <c r="D49" s="731"/>
      <c r="E49" s="731"/>
      <c r="F49" s="731"/>
      <c r="G49" s="731"/>
      <c r="H49" s="731"/>
      <c r="I49" s="731"/>
      <c r="J49" s="731"/>
      <c r="K49" s="731"/>
      <c r="L49" s="731"/>
      <c r="M49" s="731"/>
      <c r="N49" s="731"/>
      <c r="O49" s="731"/>
      <c r="P49" s="731"/>
      <c r="Q49" s="731"/>
      <c r="R49" s="731"/>
      <c r="S49" s="731"/>
      <c r="T49" s="33"/>
      <c r="U49" s="33"/>
      <c r="V49" s="33"/>
      <c r="W49" s="33"/>
    </row>
    <row r="50" spans="2:23">
      <c r="B50" s="1"/>
      <c r="C50" s="33"/>
      <c r="D50" s="731"/>
      <c r="E50" s="731"/>
      <c r="F50" s="731"/>
      <c r="G50" s="731"/>
      <c r="H50" s="731"/>
      <c r="I50" s="731"/>
      <c r="J50" s="731"/>
      <c r="K50" s="731"/>
      <c r="L50" s="731"/>
      <c r="M50" s="731"/>
      <c r="N50" s="731"/>
      <c r="O50" s="731"/>
      <c r="P50" s="731"/>
      <c r="Q50" s="731"/>
      <c r="R50" s="731"/>
      <c r="S50" s="731"/>
      <c r="T50" s="33"/>
      <c r="U50" s="33"/>
      <c r="V50" s="33"/>
      <c r="W50" s="33"/>
    </row>
    <row r="51" spans="2:23">
      <c r="B51" s="1"/>
      <c r="C51" s="33"/>
      <c r="D51" s="731"/>
      <c r="E51" s="731"/>
      <c r="F51" s="731"/>
      <c r="G51" s="731"/>
      <c r="H51" s="731"/>
      <c r="I51" s="731"/>
      <c r="J51" s="731"/>
      <c r="K51" s="731"/>
      <c r="L51" s="731"/>
      <c r="M51" s="731"/>
      <c r="N51" s="731"/>
      <c r="O51" s="731"/>
      <c r="P51" s="731"/>
      <c r="Q51" s="731"/>
      <c r="R51" s="731"/>
      <c r="S51" s="731"/>
      <c r="T51" s="33"/>
      <c r="U51" s="33"/>
      <c r="V51" s="33"/>
      <c r="W51" s="33"/>
    </row>
    <row r="52" spans="2:23">
      <c r="B52" s="1"/>
      <c r="C52" s="33"/>
      <c r="D52" s="731"/>
      <c r="E52" s="731"/>
      <c r="F52" s="731"/>
      <c r="G52" s="731"/>
      <c r="H52" s="731"/>
      <c r="I52" s="731"/>
      <c r="J52" s="731"/>
      <c r="K52" s="731"/>
      <c r="L52" s="731"/>
      <c r="M52" s="731"/>
      <c r="N52" s="731"/>
      <c r="O52" s="731"/>
      <c r="P52" s="731"/>
      <c r="Q52" s="731"/>
      <c r="R52" s="731"/>
      <c r="S52" s="731"/>
      <c r="T52" s="33"/>
      <c r="U52" s="33"/>
      <c r="V52" s="33"/>
      <c r="W52" s="33"/>
    </row>
    <row r="53" spans="2:23">
      <c r="B53" s="1"/>
      <c r="C53" s="33"/>
      <c r="D53" s="731"/>
      <c r="E53" s="731"/>
      <c r="F53" s="731"/>
      <c r="G53" s="731"/>
      <c r="H53" s="731"/>
      <c r="I53" s="731"/>
      <c r="J53" s="731"/>
      <c r="K53" s="731"/>
      <c r="L53" s="731"/>
      <c r="M53" s="731"/>
      <c r="N53" s="731"/>
      <c r="O53" s="731"/>
      <c r="P53" s="731"/>
      <c r="Q53" s="731"/>
      <c r="R53" s="731"/>
      <c r="S53" s="731"/>
      <c r="T53" s="33"/>
      <c r="U53" s="33"/>
      <c r="V53" s="33"/>
      <c r="W53" s="33"/>
    </row>
    <row r="54" spans="2:23">
      <c r="B54" s="1"/>
      <c r="C54" s="33"/>
      <c r="D54" s="731"/>
      <c r="E54" s="731"/>
      <c r="F54" s="731"/>
      <c r="G54" s="731"/>
      <c r="H54" s="731"/>
      <c r="I54" s="731"/>
      <c r="J54" s="731"/>
      <c r="K54" s="731"/>
      <c r="L54" s="731"/>
      <c r="M54" s="731"/>
      <c r="N54" s="731"/>
      <c r="O54" s="731"/>
      <c r="P54" s="731"/>
      <c r="Q54" s="731"/>
      <c r="R54" s="731"/>
      <c r="S54" s="731"/>
      <c r="T54" s="33"/>
      <c r="U54" s="33"/>
      <c r="V54" s="33"/>
      <c r="W54" s="33"/>
    </row>
    <row r="55" spans="2:23">
      <c r="B55" s="1"/>
      <c r="C55" s="33"/>
      <c r="D55" s="33"/>
      <c r="E55" s="33"/>
      <c r="F55" s="33"/>
      <c r="G55" s="33"/>
      <c r="H55" s="33"/>
      <c r="I55" s="33"/>
      <c r="J55" s="33"/>
      <c r="K55" s="33"/>
      <c r="L55" s="33"/>
      <c r="M55" s="33"/>
      <c r="N55" s="33"/>
      <c r="O55" s="33"/>
      <c r="P55" s="33"/>
      <c r="Q55" s="33"/>
      <c r="R55" s="33"/>
      <c r="S55" s="33"/>
      <c r="T55" s="33"/>
      <c r="U55" s="33"/>
      <c r="V55" s="33"/>
      <c r="W55" s="33"/>
    </row>
    <row r="56" spans="2:23">
      <c r="B56" s="1"/>
      <c r="C56" s="33"/>
      <c r="D56" s="33"/>
      <c r="E56" s="33"/>
      <c r="F56" s="33"/>
      <c r="G56" s="33"/>
      <c r="H56" s="33"/>
      <c r="I56" s="33"/>
      <c r="J56" s="33"/>
      <c r="K56" s="33"/>
      <c r="L56" s="33"/>
      <c r="M56" s="33"/>
      <c r="N56" s="33"/>
      <c r="O56" s="33"/>
      <c r="P56" s="33"/>
      <c r="Q56" s="33"/>
      <c r="R56" s="33"/>
      <c r="S56" s="33"/>
      <c r="T56" s="33"/>
      <c r="U56" s="33"/>
      <c r="V56" s="33"/>
      <c r="W56" s="33"/>
    </row>
    <row r="57" spans="2:23">
      <c r="B57" s="1"/>
      <c r="C57" s="33"/>
      <c r="D57" s="33"/>
      <c r="E57" s="33"/>
      <c r="F57" s="33"/>
      <c r="G57" s="33"/>
      <c r="H57" s="33"/>
      <c r="I57" s="33"/>
      <c r="J57" s="33"/>
      <c r="K57" s="33"/>
      <c r="L57" s="33"/>
      <c r="M57" s="33"/>
      <c r="N57" s="33"/>
      <c r="O57" s="33"/>
      <c r="P57" s="33"/>
      <c r="Q57" s="33"/>
      <c r="R57" s="33"/>
      <c r="S57" s="33"/>
      <c r="T57" s="33"/>
      <c r="U57" s="33"/>
      <c r="V57" s="33"/>
      <c r="W57" s="33"/>
    </row>
    <row r="58" spans="2:23">
      <c r="B58" s="1"/>
      <c r="C58" s="33"/>
      <c r="D58" s="33"/>
      <c r="E58" s="33"/>
      <c r="F58" s="33"/>
      <c r="G58" s="33"/>
      <c r="H58" s="33"/>
      <c r="I58" s="33"/>
      <c r="J58" s="33"/>
      <c r="K58" s="33"/>
      <c r="L58" s="33"/>
      <c r="M58" s="33"/>
      <c r="N58" s="33"/>
      <c r="O58" s="33"/>
      <c r="P58" s="33"/>
      <c r="Q58" s="33"/>
      <c r="R58" s="33"/>
      <c r="S58" s="33"/>
      <c r="T58" s="33"/>
      <c r="U58" s="33"/>
      <c r="V58" s="33"/>
      <c r="W58" s="33"/>
    </row>
    <row r="59" spans="2:23">
      <c r="B59" s="1"/>
      <c r="C59" s="33"/>
      <c r="D59" s="33"/>
      <c r="E59" s="33"/>
      <c r="F59" s="33"/>
      <c r="G59" s="33"/>
      <c r="H59" s="33"/>
      <c r="I59" s="33"/>
      <c r="J59" s="33"/>
      <c r="K59" s="33"/>
      <c r="L59" s="33"/>
      <c r="M59" s="33"/>
      <c r="N59" s="33"/>
      <c r="O59" s="33"/>
      <c r="P59" s="33"/>
      <c r="Q59" s="33"/>
      <c r="R59" s="33"/>
      <c r="S59" s="33"/>
      <c r="T59" s="33"/>
      <c r="U59" s="33"/>
      <c r="V59" s="33"/>
      <c r="W59" s="33"/>
    </row>
    <row r="60" spans="2:23">
      <c r="B60" s="1"/>
      <c r="C60" s="33"/>
      <c r="D60" s="33"/>
      <c r="E60" s="33"/>
      <c r="F60" s="33"/>
      <c r="G60" s="33"/>
      <c r="H60" s="33"/>
      <c r="I60" s="33"/>
      <c r="J60" s="33"/>
      <c r="K60" s="33"/>
      <c r="L60" s="33"/>
      <c r="M60" s="33"/>
      <c r="N60" s="33"/>
      <c r="O60" s="33"/>
      <c r="P60" s="33"/>
      <c r="Q60" s="33"/>
      <c r="R60" s="33"/>
      <c r="S60" s="33"/>
      <c r="T60" s="33"/>
      <c r="U60" s="33"/>
      <c r="V60" s="33"/>
      <c r="W60" s="33"/>
    </row>
    <row r="61" spans="2:23">
      <c r="B61" s="1"/>
      <c r="C61" s="33"/>
      <c r="D61" s="33"/>
      <c r="E61" s="33"/>
      <c r="F61" s="33"/>
      <c r="G61" s="33"/>
      <c r="H61" s="33"/>
      <c r="I61" s="33"/>
      <c r="J61" s="33"/>
      <c r="K61" s="33"/>
      <c r="L61" s="33"/>
      <c r="M61" s="33"/>
      <c r="N61" s="33"/>
      <c r="O61" s="33"/>
      <c r="P61" s="33"/>
      <c r="Q61" s="33"/>
      <c r="R61" s="33"/>
      <c r="S61" s="33"/>
      <c r="T61" s="33"/>
      <c r="U61" s="33"/>
      <c r="V61" s="33"/>
      <c r="W61" s="33"/>
    </row>
    <row r="62" spans="2:23">
      <c r="B62" s="1"/>
      <c r="C62" s="33"/>
      <c r="D62" s="33"/>
      <c r="E62" s="33"/>
      <c r="F62" s="33"/>
      <c r="G62" s="33"/>
      <c r="H62" s="33"/>
      <c r="I62" s="33"/>
      <c r="J62" s="33"/>
      <c r="K62" s="33"/>
      <c r="L62" s="33"/>
      <c r="M62" s="33"/>
      <c r="N62" s="33"/>
      <c r="O62" s="33"/>
      <c r="P62" s="33"/>
      <c r="Q62" s="33"/>
      <c r="R62" s="33"/>
      <c r="S62" s="33"/>
      <c r="T62" s="33"/>
      <c r="U62" s="33"/>
      <c r="V62" s="33"/>
      <c r="W62" s="33"/>
    </row>
    <row r="63" spans="2:23">
      <c r="B63" s="1"/>
      <c r="C63" s="33"/>
      <c r="D63" s="33"/>
      <c r="E63" s="33"/>
      <c r="F63" s="33"/>
      <c r="G63" s="33"/>
      <c r="H63" s="33"/>
      <c r="I63" s="33"/>
      <c r="J63" s="33"/>
      <c r="K63" s="33"/>
      <c r="L63" s="33"/>
      <c r="M63" s="33"/>
      <c r="N63" s="33"/>
      <c r="O63" s="33"/>
      <c r="P63" s="33"/>
      <c r="Q63" s="33"/>
      <c r="R63" s="33"/>
      <c r="S63" s="33"/>
      <c r="T63" s="33"/>
      <c r="U63" s="33"/>
      <c r="V63" s="33"/>
      <c r="W63" s="33"/>
    </row>
    <row r="64" spans="2:23">
      <c r="B64" s="1"/>
      <c r="C64" s="33"/>
      <c r="D64" s="33"/>
      <c r="E64" s="33"/>
      <c r="F64" s="33"/>
      <c r="G64" s="33"/>
      <c r="H64" s="33"/>
      <c r="I64" s="33"/>
      <c r="J64" s="33"/>
      <c r="K64" s="33"/>
      <c r="L64" s="33"/>
      <c r="M64" s="33"/>
      <c r="N64" s="33"/>
      <c r="O64" s="33"/>
      <c r="P64" s="33"/>
      <c r="Q64" s="33"/>
      <c r="R64" s="33"/>
      <c r="S64" s="33"/>
      <c r="T64" s="33"/>
      <c r="U64" s="33"/>
      <c r="V64" s="33"/>
      <c r="W64" s="33"/>
    </row>
    <row r="65" spans="2:23">
      <c r="B65" s="1"/>
      <c r="C65" s="33"/>
      <c r="D65" s="33"/>
      <c r="E65" s="33"/>
      <c r="F65" s="33"/>
      <c r="G65" s="33"/>
      <c r="H65" s="33"/>
      <c r="I65" s="33"/>
      <c r="J65" s="33"/>
      <c r="K65" s="33"/>
      <c r="L65" s="33"/>
      <c r="M65" s="33"/>
      <c r="N65" s="33"/>
      <c r="O65" s="33"/>
      <c r="P65" s="33"/>
      <c r="Q65" s="33"/>
      <c r="R65" s="33"/>
      <c r="S65" s="33"/>
      <c r="T65" s="33"/>
      <c r="U65" s="33"/>
      <c r="V65" s="33"/>
      <c r="W65" s="33"/>
    </row>
    <row r="66" spans="2:23">
      <c r="B66" s="1"/>
      <c r="C66" s="33"/>
      <c r="D66" s="33"/>
      <c r="E66" s="33"/>
      <c r="F66" s="33"/>
      <c r="G66" s="33"/>
      <c r="H66" s="33"/>
      <c r="I66" s="33"/>
      <c r="J66" s="33"/>
      <c r="K66" s="33"/>
      <c r="L66" s="33"/>
      <c r="M66" s="33"/>
      <c r="N66" s="33"/>
      <c r="O66" s="33"/>
      <c r="P66" s="33"/>
      <c r="Q66" s="33"/>
      <c r="R66" s="33"/>
      <c r="S66" s="33"/>
      <c r="T66" s="33"/>
      <c r="U66" s="33"/>
      <c r="V66" s="33"/>
      <c r="W66" s="33"/>
    </row>
    <row r="67" spans="2:23">
      <c r="B67" s="1"/>
      <c r="C67" s="33"/>
      <c r="D67" s="33"/>
      <c r="E67" s="33"/>
      <c r="F67" s="33"/>
      <c r="G67" s="33"/>
      <c r="H67" s="33"/>
      <c r="I67" s="33"/>
      <c r="J67" s="33"/>
      <c r="K67" s="33"/>
      <c r="L67" s="33"/>
      <c r="M67" s="33"/>
      <c r="N67" s="33"/>
      <c r="O67" s="33"/>
      <c r="P67" s="33"/>
      <c r="Q67" s="33"/>
      <c r="R67" s="33"/>
      <c r="S67" s="33"/>
      <c r="T67" s="33"/>
      <c r="U67" s="33"/>
      <c r="V67" s="33"/>
      <c r="W67" s="33"/>
    </row>
    <row r="68" spans="2:23">
      <c r="B68" s="1"/>
      <c r="C68" s="33"/>
      <c r="D68" s="33"/>
      <c r="E68" s="33"/>
      <c r="F68" s="33"/>
      <c r="G68" s="33"/>
      <c r="H68" s="33"/>
      <c r="I68" s="33"/>
      <c r="J68" s="33"/>
      <c r="K68" s="33"/>
      <c r="L68" s="33"/>
      <c r="M68" s="33"/>
      <c r="N68" s="33"/>
      <c r="O68" s="33"/>
      <c r="P68" s="33"/>
      <c r="Q68" s="33"/>
      <c r="R68" s="33"/>
      <c r="S68" s="33"/>
      <c r="T68" s="33"/>
      <c r="U68" s="33"/>
      <c r="V68" s="33"/>
      <c r="W68" s="33"/>
    </row>
    <row r="69" spans="2:23">
      <c r="B69" s="1"/>
      <c r="C69" s="33"/>
      <c r="D69" s="33"/>
      <c r="E69" s="33"/>
      <c r="F69" s="33"/>
      <c r="G69" s="33"/>
      <c r="H69" s="33"/>
      <c r="I69" s="33"/>
      <c r="J69" s="33"/>
      <c r="K69" s="33"/>
      <c r="L69" s="33"/>
      <c r="M69" s="33"/>
      <c r="N69" s="33"/>
      <c r="O69" s="33"/>
      <c r="P69" s="33"/>
      <c r="Q69" s="33"/>
      <c r="R69" s="33"/>
      <c r="S69" s="33"/>
      <c r="T69" s="33"/>
      <c r="U69" s="33"/>
      <c r="V69" s="33"/>
      <c r="W69" s="33"/>
    </row>
    <row r="70" spans="2:23">
      <c r="B70" s="1"/>
      <c r="C70" s="33"/>
      <c r="D70" s="33"/>
      <c r="E70" s="33"/>
      <c r="F70" s="33"/>
      <c r="G70" s="33"/>
      <c r="H70" s="33"/>
      <c r="I70" s="33"/>
      <c r="J70" s="33"/>
      <c r="K70" s="33"/>
      <c r="L70" s="33"/>
      <c r="M70" s="33"/>
      <c r="N70" s="33"/>
      <c r="O70" s="33"/>
      <c r="P70" s="33"/>
      <c r="Q70" s="33"/>
      <c r="R70" s="33"/>
      <c r="S70" s="33"/>
      <c r="T70" s="33"/>
      <c r="U70" s="33"/>
      <c r="V70" s="33"/>
      <c r="W70" s="33"/>
    </row>
    <row r="71" spans="2:23">
      <c r="B71" s="1"/>
      <c r="C71" s="33"/>
      <c r="D71" s="33"/>
      <c r="E71" s="33"/>
      <c r="F71" s="33"/>
      <c r="G71" s="33"/>
      <c r="H71" s="33"/>
      <c r="I71" s="33"/>
      <c r="J71" s="33"/>
      <c r="K71" s="33"/>
      <c r="L71" s="33"/>
      <c r="M71" s="33"/>
      <c r="N71" s="33"/>
      <c r="O71" s="33"/>
      <c r="P71" s="33"/>
      <c r="Q71" s="33"/>
      <c r="R71" s="33"/>
      <c r="S71" s="33"/>
      <c r="T71" s="33"/>
      <c r="U71" s="33"/>
      <c r="V71" s="33"/>
      <c r="W71" s="33"/>
    </row>
    <row r="72" spans="2:23">
      <c r="B72" s="1"/>
      <c r="C72" s="33"/>
      <c r="D72" s="33"/>
      <c r="E72" s="33"/>
      <c r="F72" s="33"/>
      <c r="G72" s="33"/>
      <c r="H72" s="33"/>
      <c r="I72" s="33"/>
      <c r="J72" s="33"/>
      <c r="K72" s="33"/>
      <c r="L72" s="33"/>
      <c r="M72" s="33"/>
      <c r="N72" s="33"/>
      <c r="O72" s="33"/>
      <c r="P72" s="33"/>
      <c r="Q72" s="33"/>
      <c r="R72" s="33"/>
      <c r="S72" s="33"/>
      <c r="T72" s="33"/>
      <c r="U72" s="33"/>
      <c r="V72" s="33"/>
      <c r="W72" s="33"/>
    </row>
    <row r="73" spans="2:23">
      <c r="B73" s="1"/>
      <c r="C73" s="33"/>
      <c r="D73" s="33"/>
      <c r="E73" s="33"/>
      <c r="F73" s="33"/>
      <c r="G73" s="33"/>
      <c r="H73" s="33"/>
      <c r="I73" s="33"/>
      <c r="J73" s="33"/>
      <c r="K73" s="33"/>
      <c r="L73" s="33"/>
      <c r="M73" s="33"/>
      <c r="N73" s="33"/>
      <c r="O73" s="33"/>
      <c r="P73" s="33"/>
      <c r="Q73" s="33"/>
      <c r="R73" s="33"/>
      <c r="S73" s="33"/>
      <c r="T73" s="33"/>
      <c r="U73" s="33"/>
      <c r="V73" s="33"/>
      <c r="W73" s="33"/>
    </row>
    <row r="74" spans="2:23">
      <c r="B74" s="1"/>
      <c r="C74" s="33"/>
      <c r="D74" s="33"/>
      <c r="E74" s="33"/>
      <c r="F74" s="33"/>
      <c r="G74" s="33"/>
      <c r="H74" s="33"/>
      <c r="I74" s="33"/>
      <c r="J74" s="33"/>
      <c r="K74" s="33"/>
      <c r="L74" s="33"/>
      <c r="M74" s="33"/>
      <c r="N74" s="33"/>
      <c r="O74" s="33"/>
      <c r="P74" s="33"/>
      <c r="Q74" s="33"/>
      <c r="R74" s="33"/>
      <c r="S74" s="33"/>
      <c r="T74" s="33"/>
      <c r="U74" s="33"/>
      <c r="V74" s="33"/>
      <c r="W74" s="33"/>
    </row>
    <row r="75" spans="2:23">
      <c r="B75" s="1"/>
      <c r="C75" s="33"/>
      <c r="D75" s="33"/>
      <c r="E75" s="33"/>
      <c r="F75" s="33"/>
      <c r="G75" s="33"/>
      <c r="H75" s="33"/>
      <c r="I75" s="33"/>
      <c r="J75" s="33"/>
      <c r="K75" s="33"/>
      <c r="L75" s="33"/>
      <c r="M75" s="33"/>
      <c r="N75" s="33"/>
      <c r="O75" s="33"/>
      <c r="P75" s="33"/>
      <c r="Q75" s="33"/>
      <c r="R75" s="33"/>
      <c r="S75" s="33"/>
      <c r="T75" s="33"/>
      <c r="U75" s="33"/>
      <c r="V75" s="33"/>
      <c r="W75" s="33"/>
    </row>
    <row r="76" spans="2:23">
      <c r="B76" s="1"/>
      <c r="C76" s="33"/>
      <c r="D76" s="33"/>
      <c r="E76" s="33"/>
      <c r="F76" s="33"/>
      <c r="G76" s="33"/>
      <c r="H76" s="33"/>
      <c r="I76" s="33"/>
      <c r="J76" s="33"/>
      <c r="K76" s="33"/>
      <c r="L76" s="33"/>
      <c r="M76" s="33"/>
      <c r="N76" s="33"/>
      <c r="O76" s="33"/>
      <c r="P76" s="33"/>
      <c r="Q76" s="33"/>
      <c r="R76" s="33"/>
      <c r="S76" s="33"/>
      <c r="T76" s="33"/>
      <c r="U76" s="33"/>
      <c r="V76" s="33"/>
      <c r="W76" s="33"/>
    </row>
    <row r="77" spans="2:23">
      <c r="B77" s="1"/>
      <c r="C77" s="33"/>
      <c r="D77" s="33"/>
      <c r="E77" s="33"/>
      <c r="F77" s="33"/>
      <c r="G77" s="33"/>
      <c r="H77" s="33"/>
      <c r="I77" s="33"/>
      <c r="J77" s="33"/>
      <c r="K77" s="33"/>
      <c r="L77" s="33"/>
      <c r="M77" s="33"/>
      <c r="N77" s="33"/>
      <c r="O77" s="33"/>
      <c r="P77" s="33"/>
      <c r="Q77" s="33"/>
      <c r="R77" s="33"/>
      <c r="S77" s="33"/>
      <c r="T77" s="33"/>
      <c r="U77" s="33"/>
      <c r="V77" s="33"/>
      <c r="W77" s="33"/>
    </row>
    <row r="78" spans="2:23">
      <c r="B78" s="1"/>
      <c r="C78" s="33"/>
      <c r="D78" s="33"/>
      <c r="E78" s="33"/>
      <c r="F78" s="33"/>
      <c r="G78" s="33"/>
      <c r="H78" s="33"/>
      <c r="I78" s="33"/>
      <c r="J78" s="33"/>
      <c r="K78" s="33"/>
      <c r="L78" s="33"/>
      <c r="M78" s="33"/>
      <c r="N78" s="33"/>
      <c r="O78" s="33"/>
      <c r="P78" s="33"/>
      <c r="Q78" s="33"/>
      <c r="R78" s="33"/>
      <c r="S78" s="33"/>
      <c r="T78" s="33"/>
      <c r="U78" s="33"/>
      <c r="V78" s="33"/>
      <c r="W78" s="33"/>
    </row>
    <row r="79" spans="2:23">
      <c r="B79" s="1"/>
      <c r="C79" s="33"/>
      <c r="D79" s="33"/>
      <c r="E79" s="33"/>
      <c r="F79" s="33"/>
      <c r="G79" s="33"/>
      <c r="H79" s="33"/>
      <c r="I79" s="33"/>
      <c r="J79" s="33"/>
      <c r="K79" s="33"/>
      <c r="L79" s="33"/>
      <c r="M79" s="33"/>
      <c r="N79" s="33"/>
      <c r="O79" s="33"/>
      <c r="P79" s="33"/>
      <c r="Q79" s="33"/>
      <c r="R79" s="33"/>
      <c r="S79" s="33"/>
      <c r="T79" s="33"/>
      <c r="U79" s="33"/>
      <c r="V79" s="33"/>
      <c r="W79" s="33"/>
    </row>
    <row r="80" spans="2:23">
      <c r="B80" s="1"/>
      <c r="C80" s="33"/>
      <c r="D80" s="33"/>
      <c r="E80" s="33"/>
      <c r="F80" s="33"/>
      <c r="G80" s="33"/>
      <c r="H80" s="33"/>
      <c r="I80" s="33"/>
      <c r="J80" s="33"/>
      <c r="K80" s="33"/>
      <c r="L80" s="33"/>
      <c r="M80" s="33"/>
      <c r="N80" s="33"/>
      <c r="O80" s="33"/>
      <c r="P80" s="33"/>
      <c r="Q80" s="33"/>
      <c r="R80" s="33"/>
      <c r="S80" s="33"/>
      <c r="T80" s="33"/>
      <c r="U80" s="33"/>
      <c r="V80" s="33"/>
      <c r="W80" s="33"/>
    </row>
    <row r="81" spans="2:23">
      <c r="B81" s="1"/>
      <c r="C81" s="33"/>
      <c r="D81" s="33"/>
      <c r="E81" s="33"/>
      <c r="F81" s="33"/>
      <c r="G81" s="33"/>
      <c r="H81" s="33"/>
      <c r="I81" s="33"/>
      <c r="J81" s="33"/>
      <c r="K81" s="33"/>
      <c r="L81" s="33"/>
      <c r="M81" s="33"/>
      <c r="N81" s="33"/>
      <c r="O81" s="33"/>
      <c r="P81" s="33"/>
      <c r="Q81" s="33"/>
      <c r="R81" s="33"/>
      <c r="S81" s="33"/>
      <c r="T81" s="33"/>
      <c r="U81" s="33"/>
      <c r="V81" s="33"/>
      <c r="W81" s="33"/>
    </row>
    <row r="82" spans="2:23">
      <c r="B82" s="1"/>
      <c r="C82" s="33"/>
      <c r="D82" s="33"/>
      <c r="E82" s="33"/>
      <c r="F82" s="33"/>
      <c r="G82" s="33"/>
      <c r="H82" s="33"/>
      <c r="I82" s="33"/>
      <c r="J82" s="33"/>
      <c r="K82" s="33"/>
      <c r="L82" s="33"/>
      <c r="M82" s="33"/>
      <c r="N82" s="33"/>
      <c r="O82" s="33"/>
      <c r="P82" s="33"/>
      <c r="Q82" s="33"/>
      <c r="R82" s="33"/>
      <c r="S82" s="33"/>
      <c r="T82" s="33"/>
      <c r="U82" s="33"/>
      <c r="V82" s="33"/>
      <c r="W82" s="33"/>
    </row>
    <row r="83" spans="2:23">
      <c r="B83" s="1"/>
      <c r="C83" s="33"/>
      <c r="D83" s="33"/>
      <c r="E83" s="33"/>
      <c r="F83" s="33"/>
      <c r="G83" s="33"/>
      <c r="H83" s="33"/>
      <c r="I83" s="33"/>
      <c r="J83" s="33"/>
      <c r="K83" s="33"/>
      <c r="L83" s="33"/>
      <c r="M83" s="33"/>
      <c r="N83" s="33"/>
      <c r="O83" s="33"/>
      <c r="P83" s="33"/>
      <c r="Q83" s="33"/>
      <c r="R83" s="33"/>
      <c r="S83" s="33"/>
      <c r="T83" s="33"/>
      <c r="U83" s="33"/>
      <c r="V83" s="33"/>
      <c r="W83" s="33"/>
    </row>
    <row r="84" spans="2:23">
      <c r="B84" s="1"/>
      <c r="C84" s="33"/>
      <c r="D84" s="33"/>
      <c r="E84" s="33"/>
      <c r="F84" s="33"/>
      <c r="G84" s="33"/>
      <c r="H84" s="33"/>
      <c r="I84" s="33"/>
      <c r="J84" s="33"/>
      <c r="K84" s="33"/>
      <c r="L84" s="33"/>
      <c r="M84" s="33"/>
      <c r="N84" s="33"/>
      <c r="O84" s="33"/>
      <c r="P84" s="33"/>
      <c r="Q84" s="33"/>
      <c r="R84" s="33"/>
      <c r="S84" s="33"/>
      <c r="T84" s="33"/>
      <c r="U84" s="33"/>
      <c r="V84" s="33"/>
      <c r="W84" s="33"/>
    </row>
    <row r="85" spans="2:23">
      <c r="B85" s="1"/>
      <c r="C85" s="33"/>
      <c r="D85" s="33"/>
      <c r="E85" s="33"/>
      <c r="F85" s="33"/>
      <c r="G85" s="33"/>
      <c r="H85" s="33"/>
      <c r="I85" s="33"/>
      <c r="J85" s="33"/>
      <c r="K85" s="33"/>
      <c r="L85" s="33"/>
      <c r="M85" s="33"/>
      <c r="N85" s="33"/>
      <c r="O85" s="33"/>
      <c r="P85" s="33"/>
      <c r="Q85" s="33"/>
      <c r="R85" s="33"/>
      <c r="S85" s="33"/>
      <c r="T85" s="33"/>
      <c r="U85" s="33"/>
      <c r="V85" s="33"/>
      <c r="W85" s="33"/>
    </row>
    <row r="86" spans="2:23">
      <c r="B86" s="1"/>
      <c r="C86" s="33"/>
      <c r="D86" s="33"/>
      <c r="E86" s="33"/>
      <c r="F86" s="33"/>
      <c r="G86" s="33"/>
      <c r="H86" s="33"/>
      <c r="I86" s="33"/>
      <c r="J86" s="33"/>
      <c r="K86" s="33"/>
      <c r="L86" s="33"/>
      <c r="M86" s="33"/>
      <c r="N86" s="33"/>
      <c r="O86" s="33"/>
      <c r="P86" s="33"/>
      <c r="Q86" s="33"/>
      <c r="R86" s="33"/>
      <c r="S86" s="33"/>
      <c r="T86" s="33"/>
      <c r="U86" s="33"/>
      <c r="V86" s="33"/>
      <c r="W86" s="33"/>
    </row>
    <row r="87" spans="2:23">
      <c r="B87" s="1"/>
      <c r="C87" s="33"/>
      <c r="D87" s="33"/>
      <c r="E87" s="33"/>
      <c r="F87" s="33"/>
      <c r="G87" s="33"/>
      <c r="H87" s="33"/>
      <c r="I87" s="33"/>
      <c r="J87" s="33"/>
      <c r="K87" s="33"/>
      <c r="L87" s="33"/>
      <c r="M87" s="33"/>
      <c r="N87" s="33"/>
      <c r="O87" s="33"/>
      <c r="P87" s="33"/>
      <c r="Q87" s="33"/>
      <c r="R87" s="33"/>
      <c r="S87" s="33"/>
      <c r="T87" s="33"/>
      <c r="U87" s="33"/>
      <c r="V87" s="33"/>
      <c r="W87" s="33"/>
    </row>
    <row r="88" spans="2:23">
      <c r="B88" s="1"/>
      <c r="C88" s="33"/>
      <c r="D88" s="33"/>
      <c r="E88" s="33"/>
      <c r="F88" s="33"/>
      <c r="G88" s="33"/>
      <c r="H88" s="33"/>
      <c r="I88" s="33"/>
      <c r="J88" s="33"/>
      <c r="K88" s="33"/>
      <c r="L88" s="33"/>
      <c r="M88" s="33"/>
      <c r="N88" s="33"/>
      <c r="O88" s="33"/>
      <c r="P88" s="33"/>
      <c r="Q88" s="33"/>
      <c r="R88" s="33"/>
      <c r="S88" s="33"/>
      <c r="T88" s="33"/>
      <c r="U88" s="33"/>
      <c r="V88" s="33"/>
      <c r="W88" s="33"/>
    </row>
    <row r="89" spans="2:23">
      <c r="B89" s="1"/>
      <c r="C89" s="33"/>
      <c r="D89" s="33"/>
      <c r="E89" s="33"/>
      <c r="F89" s="33"/>
      <c r="G89" s="33"/>
      <c r="H89" s="33"/>
      <c r="I89" s="33"/>
      <c r="J89" s="33"/>
      <c r="K89" s="33"/>
      <c r="L89" s="33"/>
      <c r="M89" s="33"/>
      <c r="N89" s="33"/>
      <c r="O89" s="33"/>
      <c r="P89" s="33"/>
      <c r="Q89" s="33"/>
      <c r="R89" s="33"/>
      <c r="S89" s="33"/>
      <c r="T89" s="33"/>
      <c r="U89" s="33"/>
      <c r="V89" s="33"/>
      <c r="W89" s="33"/>
    </row>
    <row r="90" spans="2:23">
      <c r="B90" s="1"/>
      <c r="C90" s="33"/>
      <c r="D90" s="33"/>
      <c r="E90" s="33"/>
      <c r="F90" s="33"/>
      <c r="G90" s="33"/>
      <c r="H90" s="33"/>
      <c r="I90" s="33"/>
      <c r="J90" s="33"/>
      <c r="K90" s="33"/>
      <c r="L90" s="33"/>
      <c r="M90" s="33"/>
      <c r="N90" s="33"/>
      <c r="O90" s="33"/>
      <c r="P90" s="33"/>
      <c r="Q90" s="33"/>
      <c r="R90" s="33"/>
      <c r="S90" s="33"/>
      <c r="T90" s="33"/>
      <c r="U90" s="33"/>
      <c r="V90" s="33"/>
      <c r="W90" s="33"/>
    </row>
    <row r="91" spans="2:23">
      <c r="B91" s="1"/>
      <c r="C91" s="33"/>
      <c r="D91" s="33"/>
      <c r="E91" s="33"/>
      <c r="F91" s="33"/>
      <c r="G91" s="33"/>
      <c r="H91" s="33"/>
      <c r="I91" s="33"/>
      <c r="J91" s="33"/>
      <c r="K91" s="33"/>
      <c r="L91" s="33"/>
      <c r="M91" s="33"/>
      <c r="N91" s="33"/>
      <c r="O91" s="33"/>
      <c r="P91" s="33"/>
      <c r="Q91" s="33"/>
      <c r="R91" s="33"/>
      <c r="S91" s="33"/>
      <c r="T91" s="33"/>
      <c r="U91" s="33"/>
      <c r="V91" s="33"/>
      <c r="W91" s="33"/>
    </row>
    <row r="92" spans="2:23">
      <c r="B92" s="1"/>
      <c r="C92" s="33"/>
      <c r="D92" s="33"/>
      <c r="E92" s="33"/>
      <c r="F92" s="33"/>
      <c r="G92" s="33"/>
      <c r="H92" s="33"/>
      <c r="I92" s="33"/>
      <c r="J92" s="33"/>
      <c r="K92" s="33"/>
      <c r="L92" s="33"/>
      <c r="M92" s="33"/>
      <c r="N92" s="33"/>
      <c r="O92" s="33"/>
      <c r="P92" s="33"/>
      <c r="Q92" s="33"/>
      <c r="R92" s="33"/>
      <c r="S92" s="33"/>
      <c r="T92" s="33"/>
      <c r="U92" s="33"/>
      <c r="V92" s="33"/>
      <c r="W92" s="33"/>
    </row>
    <row r="93" spans="2:23">
      <c r="B93" s="1"/>
      <c r="C93" s="33"/>
      <c r="D93" s="33"/>
      <c r="E93" s="33"/>
      <c r="F93" s="33"/>
      <c r="G93" s="33"/>
      <c r="H93" s="33"/>
      <c r="I93" s="33"/>
      <c r="J93" s="33"/>
      <c r="K93" s="33"/>
      <c r="L93" s="33"/>
      <c r="M93" s="33"/>
      <c r="N93" s="33"/>
      <c r="O93" s="33"/>
      <c r="P93" s="33"/>
      <c r="Q93" s="33"/>
      <c r="R93" s="33"/>
      <c r="S93" s="33"/>
      <c r="T93" s="33"/>
      <c r="U93" s="33"/>
      <c r="V93" s="33"/>
      <c r="W93" s="33"/>
    </row>
    <row r="94" spans="2:23">
      <c r="B94" s="1"/>
      <c r="C94" s="33"/>
      <c r="D94" s="33"/>
      <c r="E94" s="33"/>
      <c r="F94" s="33"/>
      <c r="G94" s="33"/>
      <c r="H94" s="33"/>
      <c r="I94" s="33"/>
      <c r="J94" s="33"/>
      <c r="K94" s="33"/>
      <c r="L94" s="33"/>
      <c r="M94" s="33"/>
      <c r="N94" s="33"/>
      <c r="O94" s="33"/>
      <c r="P94" s="33"/>
      <c r="Q94" s="33"/>
      <c r="R94" s="33"/>
      <c r="S94" s="33"/>
      <c r="T94" s="33"/>
      <c r="U94" s="33"/>
      <c r="V94" s="33"/>
      <c r="W94" s="33"/>
    </row>
    <row r="95" spans="2:23">
      <c r="B95" s="1"/>
      <c r="C95" s="33"/>
      <c r="D95" s="33"/>
      <c r="E95" s="33"/>
      <c r="F95" s="33"/>
      <c r="G95" s="33"/>
      <c r="H95" s="33"/>
      <c r="I95" s="33"/>
      <c r="J95" s="33"/>
      <c r="K95" s="33"/>
      <c r="L95" s="33"/>
      <c r="M95" s="33"/>
      <c r="N95" s="33"/>
      <c r="O95" s="33"/>
      <c r="P95" s="33"/>
      <c r="Q95" s="33"/>
      <c r="R95" s="33"/>
      <c r="S95" s="33"/>
      <c r="T95" s="33"/>
      <c r="U95" s="33"/>
      <c r="V95" s="33"/>
      <c r="W95" s="33"/>
    </row>
    <row r="96" spans="2:23">
      <c r="B96" s="1"/>
      <c r="C96" s="33"/>
      <c r="D96" s="33"/>
      <c r="E96" s="33"/>
      <c r="F96" s="33"/>
      <c r="G96" s="33"/>
      <c r="H96" s="33"/>
      <c r="I96" s="33"/>
      <c r="J96" s="33"/>
      <c r="K96" s="33"/>
      <c r="L96" s="33"/>
      <c r="M96" s="33"/>
      <c r="N96" s="33"/>
      <c r="O96" s="33"/>
      <c r="P96" s="33"/>
      <c r="Q96" s="33"/>
      <c r="R96" s="33"/>
      <c r="S96" s="33"/>
      <c r="T96" s="33"/>
      <c r="U96" s="33"/>
      <c r="V96" s="33"/>
      <c r="W96" s="33"/>
    </row>
    <row r="97" spans="2:23">
      <c r="B97" s="1"/>
      <c r="C97" s="33"/>
      <c r="D97" s="33"/>
      <c r="E97" s="33"/>
      <c r="F97" s="33"/>
      <c r="G97" s="33"/>
      <c r="H97" s="33"/>
      <c r="I97" s="33"/>
      <c r="J97" s="33"/>
      <c r="K97" s="33"/>
      <c r="L97" s="33"/>
      <c r="M97" s="33"/>
      <c r="N97" s="33"/>
      <c r="O97" s="33"/>
      <c r="P97" s="33"/>
      <c r="Q97" s="33"/>
      <c r="R97" s="33"/>
      <c r="S97" s="33"/>
      <c r="T97" s="33"/>
      <c r="U97" s="33"/>
      <c r="V97" s="33"/>
      <c r="W97" s="33"/>
    </row>
    <row r="98" spans="2:23">
      <c r="B98" s="1"/>
      <c r="C98" s="33"/>
      <c r="D98" s="33"/>
      <c r="E98" s="33"/>
      <c r="F98" s="33"/>
      <c r="G98" s="33"/>
      <c r="H98" s="33"/>
      <c r="I98" s="33"/>
      <c r="J98" s="33"/>
      <c r="K98" s="33"/>
      <c r="L98" s="33"/>
      <c r="M98" s="33"/>
      <c r="N98" s="33"/>
      <c r="O98" s="33"/>
      <c r="P98" s="33"/>
      <c r="Q98" s="33"/>
      <c r="R98" s="33"/>
      <c r="S98" s="33"/>
      <c r="T98" s="33"/>
      <c r="U98" s="33"/>
      <c r="V98" s="33"/>
      <c r="W98" s="33"/>
    </row>
    <row r="99" spans="2:23">
      <c r="B99" s="1"/>
      <c r="C99" s="33"/>
      <c r="D99" s="33"/>
      <c r="E99" s="33"/>
      <c r="F99" s="33"/>
      <c r="G99" s="33"/>
      <c r="H99" s="33"/>
      <c r="I99" s="33"/>
      <c r="J99" s="33"/>
      <c r="K99" s="33"/>
      <c r="L99" s="33"/>
      <c r="M99" s="33"/>
      <c r="N99" s="33"/>
      <c r="O99" s="33"/>
      <c r="P99" s="33"/>
      <c r="Q99" s="33"/>
      <c r="R99" s="33"/>
      <c r="S99" s="33"/>
      <c r="T99" s="33"/>
      <c r="U99" s="33"/>
      <c r="V99" s="33"/>
      <c r="W99" s="33"/>
    </row>
    <row r="100" spans="2:23">
      <c r="B100" s="1"/>
      <c r="C100" s="33"/>
      <c r="D100" s="33"/>
      <c r="E100" s="33"/>
      <c r="F100" s="33"/>
      <c r="G100" s="33"/>
      <c r="H100" s="33"/>
      <c r="I100" s="33"/>
      <c r="J100" s="33"/>
      <c r="K100" s="33"/>
      <c r="L100" s="33"/>
      <c r="M100" s="33"/>
      <c r="N100" s="33"/>
      <c r="O100" s="33"/>
      <c r="P100" s="33"/>
      <c r="Q100" s="33"/>
      <c r="R100" s="33"/>
      <c r="S100" s="33"/>
      <c r="T100" s="33"/>
      <c r="U100" s="33"/>
      <c r="V100" s="33"/>
      <c r="W100" s="33"/>
    </row>
    <row r="101" spans="2:23">
      <c r="B101" s="1"/>
      <c r="C101" s="33"/>
      <c r="D101" s="33"/>
      <c r="E101" s="33"/>
      <c r="F101" s="33"/>
      <c r="G101" s="33"/>
      <c r="H101" s="33"/>
      <c r="I101" s="33"/>
      <c r="J101" s="33"/>
      <c r="K101" s="33"/>
      <c r="L101" s="33"/>
      <c r="M101" s="33"/>
      <c r="N101" s="33"/>
      <c r="O101" s="33"/>
      <c r="P101" s="33"/>
      <c r="Q101" s="33"/>
      <c r="R101" s="33"/>
      <c r="S101" s="33"/>
      <c r="T101" s="33"/>
      <c r="U101" s="33"/>
      <c r="V101" s="33"/>
      <c r="W101" s="33"/>
    </row>
    <row r="102" spans="2:23">
      <c r="B102" s="1"/>
      <c r="C102" s="33"/>
      <c r="D102" s="33"/>
      <c r="E102" s="33"/>
      <c r="F102" s="33"/>
      <c r="G102" s="33"/>
      <c r="H102" s="33"/>
      <c r="I102" s="33"/>
      <c r="J102" s="33"/>
      <c r="K102" s="33"/>
      <c r="L102" s="33"/>
      <c r="M102" s="33"/>
      <c r="N102" s="33"/>
      <c r="O102" s="33"/>
      <c r="P102" s="33"/>
      <c r="Q102" s="33"/>
      <c r="R102" s="33"/>
      <c r="S102" s="33"/>
      <c r="T102" s="33"/>
      <c r="U102" s="33"/>
      <c r="V102" s="33"/>
      <c r="W102" s="33"/>
    </row>
    <row r="103" spans="2:23">
      <c r="B103" s="1"/>
      <c r="C103" s="33"/>
      <c r="D103" s="33"/>
      <c r="E103" s="33"/>
      <c r="F103" s="33"/>
      <c r="G103" s="33"/>
      <c r="H103" s="33"/>
      <c r="I103" s="33"/>
      <c r="J103" s="33"/>
      <c r="K103" s="33"/>
      <c r="L103" s="33"/>
      <c r="M103" s="33"/>
      <c r="N103" s="33"/>
      <c r="O103" s="33"/>
      <c r="P103" s="33"/>
      <c r="Q103" s="33"/>
      <c r="R103" s="33"/>
      <c r="S103" s="33"/>
      <c r="T103" s="33"/>
      <c r="U103" s="33"/>
      <c r="V103" s="33"/>
      <c r="W103" s="33"/>
    </row>
    <row r="104" spans="2:23">
      <c r="B104" s="1"/>
      <c r="C104" s="33"/>
      <c r="D104" s="33"/>
      <c r="E104" s="33"/>
      <c r="F104" s="33"/>
      <c r="G104" s="33"/>
      <c r="H104" s="33"/>
      <c r="I104" s="33"/>
      <c r="J104" s="33"/>
      <c r="K104" s="33"/>
      <c r="L104" s="33"/>
      <c r="M104" s="33"/>
      <c r="N104" s="33"/>
      <c r="O104" s="33"/>
      <c r="P104" s="33"/>
      <c r="Q104" s="33"/>
      <c r="R104" s="33"/>
      <c r="S104" s="33"/>
      <c r="T104" s="33"/>
      <c r="U104" s="33"/>
      <c r="V104" s="33"/>
      <c r="W104" s="33"/>
    </row>
  </sheetData>
  <printOptions horizontalCentered="1"/>
  <pageMargins left="0.25" right="0.25" top="1" bottom="1" header="0.65" footer="0.5"/>
  <pageSetup scale="65" orientation="landscape" r:id="rId1"/>
  <headerFooter alignWithMargins="0">
    <oddHeader xml:space="preserve">&amp;R&amp;16AEP - SPP Formula Rate
Schedule 1 Rates
Page: &amp;P of &amp;N
</oddHeader>
    <oddFooter xml:space="preserve">&amp;C &amp;R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V62"/>
  <sheetViews>
    <sheetView zoomScale="70" zoomScaleNormal="70" zoomScaleSheetLayoutView="70" zoomScalePageLayoutView="90" workbookViewId="0">
      <selection activeCell="O34" sqref="O34"/>
    </sheetView>
  </sheetViews>
  <sheetFormatPr defaultRowHeight="12.75"/>
  <cols>
    <col min="1" max="1" width="9.140625" style="520"/>
    <col min="2" max="2" width="33.7109375" style="520" customWidth="1"/>
    <col min="3" max="4" width="14.5703125" style="520" customWidth="1"/>
    <col min="5" max="6" width="12" style="520" customWidth="1"/>
    <col min="7" max="7" width="15" style="520" customWidth="1"/>
    <col min="8" max="8" width="15.140625" style="520" customWidth="1"/>
    <col min="9" max="9" width="14.28515625" style="520" customWidth="1"/>
    <col min="10" max="16384" width="9.140625" style="520"/>
  </cols>
  <sheetData>
    <row r="2" spans="1:256" ht="18" customHeight="1">
      <c r="A2" s="1564" t="str">
        <f>+'SWEPCO TCOS'!F3</f>
        <v xml:space="preserve">AEP West SPP Member Operating Companies </v>
      </c>
      <c r="B2" s="1564"/>
      <c r="C2" s="1564"/>
      <c r="D2" s="1564"/>
      <c r="E2" s="1564"/>
      <c r="F2" s="1564"/>
      <c r="G2" s="1564"/>
      <c r="H2" s="1564"/>
      <c r="I2" s="1564"/>
      <c r="J2" s="927"/>
      <c r="K2" s="927"/>
      <c r="L2" s="927"/>
    </row>
    <row r="3" spans="1:256" ht="18">
      <c r="A3" s="1570" t="str">
        <f>+'SWEPCO TCOS'!F7</f>
        <v>SOUTHWESTERN ELECTRIC POWER COMPANY</v>
      </c>
      <c r="B3" s="1570"/>
      <c r="C3" s="1570"/>
      <c r="D3" s="1570"/>
      <c r="E3" s="1570"/>
      <c r="F3" s="1570"/>
      <c r="G3" s="1570"/>
      <c r="H3" s="1570"/>
      <c r="I3" s="1570"/>
      <c r="J3" s="928"/>
      <c r="K3" s="928"/>
      <c r="L3" s="928"/>
    </row>
    <row r="4" spans="1:256" ht="18">
      <c r="A4" s="1562" t="s">
        <v>1134</v>
      </c>
      <c r="B4" s="1562"/>
      <c r="C4" s="1562"/>
      <c r="D4" s="1562"/>
      <c r="E4" s="1562"/>
      <c r="F4" s="1562"/>
      <c r="G4" s="1562"/>
      <c r="H4" s="1562"/>
      <c r="I4" s="1562"/>
      <c r="J4" s="928"/>
      <c r="K4" s="928"/>
      <c r="L4" s="928"/>
    </row>
    <row r="5" spans="1:256" ht="18">
      <c r="A5" s="1568" t="str">
        <f>"AS OF DECEMBER 31, "&amp;'SWEPCO TCOS'!N1&amp;""</f>
        <v>AS OF DECEMBER 31, 2019</v>
      </c>
      <c r="B5" s="1568"/>
      <c r="C5" s="1568"/>
      <c r="D5" s="1568"/>
      <c r="E5" s="1568"/>
      <c r="F5" s="1568"/>
      <c r="G5" s="1568"/>
      <c r="H5" s="1568"/>
      <c r="I5" s="1568"/>
      <c r="J5" s="929"/>
      <c r="K5" s="929"/>
      <c r="L5" s="929"/>
    </row>
    <row r="6" spans="1:256" ht="15.75">
      <c r="A6" s="930"/>
      <c r="B6" s="1571"/>
      <c r="C6" s="1571"/>
      <c r="D6" s="1571"/>
      <c r="E6" s="1571"/>
      <c r="F6" s="931"/>
      <c r="G6" s="931"/>
      <c r="H6" s="931"/>
      <c r="I6" s="931"/>
      <c r="J6" s="930"/>
      <c r="K6" s="930"/>
      <c r="L6" s="930"/>
      <c r="M6" s="930"/>
      <c r="N6" s="930"/>
      <c r="O6" s="930"/>
      <c r="P6" s="930"/>
      <c r="Q6" s="930"/>
      <c r="R6" s="930"/>
      <c r="S6" s="930"/>
      <c r="T6" s="930"/>
      <c r="U6" s="930"/>
      <c r="V6" s="930"/>
      <c r="W6" s="930"/>
      <c r="X6" s="930"/>
      <c r="Y6" s="930"/>
      <c r="Z6" s="930"/>
      <c r="AA6" s="930"/>
      <c r="AB6" s="930"/>
      <c r="AC6" s="930"/>
      <c r="AD6" s="930"/>
      <c r="AE6" s="930"/>
      <c r="AF6" s="930"/>
      <c r="AG6" s="930"/>
      <c r="AH6" s="930"/>
      <c r="AI6" s="930"/>
      <c r="AJ6" s="930"/>
      <c r="AK6" s="930"/>
      <c r="AL6" s="930"/>
      <c r="AM6" s="930"/>
      <c r="AN6" s="930"/>
      <c r="AO6" s="930"/>
      <c r="AP6" s="930"/>
      <c r="AQ6" s="930"/>
      <c r="AR6" s="930"/>
      <c r="AS6" s="930"/>
      <c r="AT6" s="930"/>
      <c r="AU6" s="930"/>
      <c r="AV6" s="930"/>
      <c r="AW6" s="930"/>
      <c r="AX6" s="930"/>
      <c r="AY6" s="930"/>
      <c r="AZ6" s="930"/>
      <c r="BA6" s="930"/>
      <c r="BB6" s="930"/>
      <c r="BC6" s="930"/>
      <c r="BD6" s="930"/>
      <c r="BE6" s="930"/>
      <c r="BF6" s="930"/>
      <c r="BG6" s="930"/>
      <c r="BH6" s="930"/>
      <c r="BI6" s="930"/>
      <c r="BJ6" s="930"/>
      <c r="BK6" s="930"/>
      <c r="BL6" s="930"/>
      <c r="BM6" s="930"/>
      <c r="BN6" s="930"/>
      <c r="BO6" s="930"/>
      <c r="BP6" s="930"/>
      <c r="BQ6" s="930"/>
      <c r="BR6" s="930"/>
      <c r="BS6" s="930"/>
      <c r="BT6" s="930"/>
      <c r="BU6" s="930"/>
      <c r="BV6" s="930"/>
      <c r="BW6" s="930"/>
      <c r="BX6" s="930"/>
      <c r="BY6" s="930"/>
      <c r="BZ6" s="930"/>
      <c r="CA6" s="930"/>
      <c r="CB6" s="930"/>
      <c r="CC6" s="930"/>
      <c r="CD6" s="930"/>
      <c r="CE6" s="930"/>
      <c r="CF6" s="930"/>
      <c r="CG6" s="930"/>
      <c r="CH6" s="930"/>
      <c r="CI6" s="930"/>
      <c r="CJ6" s="930"/>
      <c r="CK6" s="930"/>
      <c r="CL6" s="930"/>
      <c r="CM6" s="930"/>
      <c r="CN6" s="930"/>
      <c r="CO6" s="930"/>
      <c r="CP6" s="930"/>
      <c r="CQ6" s="930"/>
      <c r="CR6" s="930"/>
      <c r="CS6" s="930"/>
      <c r="CT6" s="930"/>
      <c r="CU6" s="930"/>
      <c r="CV6" s="930"/>
      <c r="CW6" s="930"/>
      <c r="CX6" s="930"/>
      <c r="CY6" s="930"/>
      <c r="CZ6" s="930"/>
      <c r="DA6" s="930"/>
      <c r="DB6" s="930"/>
      <c r="DC6" s="930"/>
      <c r="DD6" s="930"/>
      <c r="DE6" s="930"/>
      <c r="DF6" s="930"/>
      <c r="DG6" s="930"/>
      <c r="DH6" s="930"/>
      <c r="DI6" s="930"/>
      <c r="DJ6" s="930"/>
      <c r="DK6" s="930"/>
      <c r="DL6" s="930"/>
      <c r="DM6" s="930"/>
      <c r="DN6" s="930"/>
      <c r="DO6" s="930"/>
      <c r="DP6" s="930"/>
      <c r="DQ6" s="930"/>
      <c r="DR6" s="930"/>
      <c r="DS6" s="930"/>
      <c r="DT6" s="930"/>
      <c r="DU6" s="930"/>
      <c r="DV6" s="930"/>
      <c r="DW6" s="930"/>
      <c r="DX6" s="930"/>
      <c r="DY6" s="930"/>
      <c r="DZ6" s="930"/>
      <c r="EA6" s="930"/>
      <c r="EB6" s="930"/>
      <c r="EC6" s="930"/>
      <c r="ED6" s="930"/>
      <c r="EE6" s="930"/>
      <c r="EF6" s="930"/>
      <c r="EG6" s="930"/>
      <c r="EH6" s="930"/>
      <c r="EI6" s="930"/>
      <c r="EJ6" s="930"/>
      <c r="EK6" s="930"/>
      <c r="EL6" s="930"/>
      <c r="EM6" s="930"/>
      <c r="EN6" s="930"/>
      <c r="EO6" s="930"/>
      <c r="EP6" s="930"/>
      <c r="EQ6" s="930"/>
      <c r="ER6" s="930"/>
      <c r="ES6" s="930"/>
      <c r="ET6" s="930"/>
      <c r="EU6" s="930"/>
      <c r="EV6" s="930"/>
      <c r="EW6" s="930"/>
      <c r="EX6" s="930"/>
      <c r="EY6" s="930"/>
      <c r="EZ6" s="930"/>
      <c r="FA6" s="930"/>
      <c r="FB6" s="930"/>
      <c r="FC6" s="930"/>
      <c r="FD6" s="930"/>
      <c r="FE6" s="930"/>
      <c r="FF6" s="930"/>
      <c r="FG6" s="930"/>
      <c r="FH6" s="930"/>
      <c r="FI6" s="930"/>
      <c r="FJ6" s="930"/>
      <c r="FK6" s="930"/>
      <c r="FL6" s="930"/>
      <c r="FM6" s="930"/>
      <c r="FN6" s="930"/>
      <c r="FO6" s="930"/>
      <c r="FP6" s="930"/>
      <c r="FQ6" s="930"/>
      <c r="FR6" s="930"/>
      <c r="FS6" s="930"/>
      <c r="FT6" s="930"/>
      <c r="FU6" s="930"/>
      <c r="FV6" s="930"/>
      <c r="FW6" s="930"/>
      <c r="FX6" s="930"/>
      <c r="FY6" s="930"/>
      <c r="FZ6" s="930"/>
      <c r="GA6" s="930"/>
      <c r="GB6" s="930"/>
      <c r="GC6" s="930"/>
      <c r="GD6" s="930"/>
      <c r="GE6" s="930"/>
      <c r="GF6" s="930"/>
      <c r="GG6" s="930"/>
      <c r="GH6" s="930"/>
      <c r="GI6" s="930"/>
      <c r="GJ6" s="930"/>
      <c r="GK6" s="930"/>
      <c r="GL6" s="930"/>
      <c r="GM6" s="930"/>
      <c r="GN6" s="930"/>
      <c r="GO6" s="930"/>
      <c r="GP6" s="930"/>
      <c r="GQ6" s="930"/>
      <c r="GR6" s="930"/>
      <c r="GS6" s="930"/>
      <c r="GT6" s="930"/>
      <c r="GU6" s="930"/>
      <c r="GV6" s="930"/>
      <c r="GW6" s="930"/>
      <c r="GX6" s="930"/>
      <c r="GY6" s="930"/>
      <c r="GZ6" s="930"/>
      <c r="HA6" s="930"/>
      <c r="HB6" s="930"/>
      <c r="HC6" s="930"/>
      <c r="HD6" s="930"/>
      <c r="HE6" s="930"/>
      <c r="HF6" s="930"/>
      <c r="HG6" s="930"/>
      <c r="HH6" s="930"/>
      <c r="HI6" s="930"/>
      <c r="HJ6" s="930"/>
      <c r="HK6" s="930"/>
      <c r="HL6" s="930"/>
      <c r="HM6" s="930"/>
      <c r="HN6" s="930"/>
      <c r="HO6" s="930"/>
      <c r="HP6" s="930"/>
      <c r="HQ6" s="930"/>
      <c r="HR6" s="930"/>
      <c r="HS6" s="930"/>
      <c r="HT6" s="930"/>
      <c r="HU6" s="930"/>
      <c r="HV6" s="930"/>
      <c r="HW6" s="930"/>
      <c r="HX6" s="930"/>
      <c r="HY6" s="930"/>
      <c r="HZ6" s="930"/>
      <c r="IA6" s="930"/>
      <c r="IB6" s="930"/>
      <c r="IC6" s="930"/>
      <c r="ID6" s="930"/>
      <c r="IE6" s="930"/>
      <c r="IF6" s="930"/>
      <c r="IG6" s="930"/>
      <c r="IH6" s="930"/>
      <c r="II6" s="930"/>
      <c r="IJ6" s="930"/>
      <c r="IK6" s="930"/>
      <c r="IL6" s="930"/>
      <c r="IM6" s="930"/>
      <c r="IN6" s="930"/>
      <c r="IO6" s="930"/>
      <c r="IP6" s="930"/>
      <c r="IQ6" s="930"/>
      <c r="IR6" s="930"/>
      <c r="IS6" s="930"/>
      <c r="IT6" s="930"/>
      <c r="IU6" s="930"/>
      <c r="IV6" s="930"/>
    </row>
    <row r="7" spans="1:256" ht="57" customHeight="1">
      <c r="A7" s="1572" t="s">
        <v>1115</v>
      </c>
      <c r="B7" s="1572"/>
      <c r="C7" s="1572"/>
      <c r="D7" s="1572"/>
      <c r="E7" s="1572"/>
      <c r="F7" s="1572"/>
      <c r="G7" s="1572"/>
      <c r="H7" s="1572"/>
      <c r="I7" s="1572"/>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0"/>
      <c r="AY7" s="930"/>
      <c r="AZ7" s="930"/>
      <c r="BA7" s="930"/>
      <c r="BB7" s="930"/>
      <c r="BC7" s="930"/>
      <c r="BD7" s="930"/>
      <c r="BE7" s="930"/>
      <c r="BF7" s="930"/>
      <c r="BG7" s="930"/>
      <c r="BH7" s="930"/>
      <c r="BI7" s="930"/>
      <c r="BJ7" s="930"/>
      <c r="BK7" s="930"/>
      <c r="BL7" s="930"/>
      <c r="BM7" s="930"/>
      <c r="BN7" s="930"/>
      <c r="BO7" s="930"/>
      <c r="BP7" s="930"/>
      <c r="BQ7" s="930"/>
      <c r="BR7" s="930"/>
      <c r="BS7" s="930"/>
      <c r="BT7" s="930"/>
      <c r="BU7" s="930"/>
      <c r="BV7" s="930"/>
      <c r="BW7" s="930"/>
      <c r="BX7" s="930"/>
      <c r="BY7" s="930"/>
      <c r="BZ7" s="930"/>
      <c r="CA7" s="930"/>
      <c r="CB7" s="930"/>
      <c r="CC7" s="930"/>
      <c r="CD7" s="930"/>
      <c r="CE7" s="930"/>
      <c r="CF7" s="930"/>
      <c r="CG7" s="930"/>
      <c r="CH7" s="930"/>
      <c r="CI7" s="930"/>
      <c r="CJ7" s="930"/>
      <c r="CK7" s="930"/>
      <c r="CL7" s="930"/>
      <c r="CM7" s="930"/>
      <c r="CN7" s="930"/>
      <c r="CO7" s="930"/>
      <c r="CP7" s="930"/>
      <c r="CQ7" s="930"/>
      <c r="CR7" s="930"/>
      <c r="CS7" s="930"/>
      <c r="CT7" s="930"/>
      <c r="CU7" s="930"/>
      <c r="CV7" s="930"/>
      <c r="CW7" s="930"/>
      <c r="CX7" s="930"/>
      <c r="CY7" s="930"/>
      <c r="CZ7" s="930"/>
      <c r="DA7" s="930"/>
      <c r="DB7" s="930"/>
      <c r="DC7" s="930"/>
      <c r="DD7" s="930"/>
      <c r="DE7" s="930"/>
      <c r="DF7" s="930"/>
      <c r="DG7" s="930"/>
      <c r="DH7" s="930"/>
      <c r="DI7" s="930"/>
      <c r="DJ7" s="930"/>
      <c r="DK7" s="930"/>
      <c r="DL7" s="930"/>
      <c r="DM7" s="930"/>
      <c r="DN7" s="930"/>
      <c r="DO7" s="930"/>
      <c r="DP7" s="930"/>
      <c r="DQ7" s="930"/>
      <c r="DR7" s="930"/>
      <c r="DS7" s="930"/>
      <c r="DT7" s="930"/>
      <c r="DU7" s="930"/>
      <c r="DV7" s="930"/>
      <c r="DW7" s="930"/>
      <c r="DX7" s="930"/>
      <c r="DY7" s="930"/>
      <c r="DZ7" s="930"/>
      <c r="EA7" s="930"/>
      <c r="EB7" s="930"/>
      <c r="EC7" s="930"/>
      <c r="ED7" s="930"/>
      <c r="EE7" s="930"/>
      <c r="EF7" s="930"/>
      <c r="EG7" s="930"/>
      <c r="EH7" s="930"/>
      <c r="EI7" s="930"/>
      <c r="EJ7" s="930"/>
      <c r="EK7" s="930"/>
      <c r="EL7" s="930"/>
      <c r="EM7" s="930"/>
      <c r="EN7" s="930"/>
      <c r="EO7" s="930"/>
      <c r="EP7" s="930"/>
      <c r="EQ7" s="930"/>
      <c r="ER7" s="930"/>
      <c r="ES7" s="930"/>
      <c r="ET7" s="930"/>
      <c r="EU7" s="930"/>
      <c r="EV7" s="930"/>
      <c r="EW7" s="930"/>
      <c r="EX7" s="930"/>
      <c r="EY7" s="930"/>
      <c r="EZ7" s="930"/>
      <c r="FA7" s="930"/>
      <c r="FB7" s="930"/>
      <c r="FC7" s="930"/>
      <c r="FD7" s="930"/>
      <c r="FE7" s="930"/>
      <c r="FF7" s="930"/>
      <c r="FG7" s="930"/>
      <c r="FH7" s="930"/>
      <c r="FI7" s="930"/>
      <c r="FJ7" s="930"/>
      <c r="FK7" s="930"/>
      <c r="FL7" s="930"/>
      <c r="FM7" s="930"/>
      <c r="FN7" s="930"/>
      <c r="FO7" s="930"/>
      <c r="FP7" s="930"/>
      <c r="FQ7" s="930"/>
      <c r="FR7" s="930"/>
      <c r="FS7" s="930"/>
      <c r="FT7" s="930"/>
      <c r="FU7" s="930"/>
      <c r="FV7" s="930"/>
      <c r="FW7" s="930"/>
      <c r="FX7" s="930"/>
      <c r="FY7" s="930"/>
      <c r="FZ7" s="930"/>
      <c r="GA7" s="930"/>
      <c r="GB7" s="930"/>
      <c r="GC7" s="930"/>
      <c r="GD7" s="930"/>
      <c r="GE7" s="930"/>
      <c r="GF7" s="930"/>
      <c r="GG7" s="930"/>
      <c r="GH7" s="930"/>
      <c r="GI7" s="930"/>
      <c r="GJ7" s="930"/>
      <c r="GK7" s="930"/>
      <c r="GL7" s="930"/>
      <c r="GM7" s="930"/>
      <c r="GN7" s="930"/>
      <c r="GO7" s="930"/>
      <c r="GP7" s="930"/>
      <c r="GQ7" s="930"/>
      <c r="GR7" s="930"/>
      <c r="GS7" s="930"/>
      <c r="GT7" s="930"/>
      <c r="GU7" s="930"/>
      <c r="GV7" s="930"/>
      <c r="GW7" s="930"/>
      <c r="GX7" s="930"/>
      <c r="GY7" s="930"/>
      <c r="GZ7" s="930"/>
      <c r="HA7" s="930"/>
      <c r="HB7" s="930"/>
      <c r="HC7" s="930"/>
      <c r="HD7" s="930"/>
      <c r="HE7" s="930"/>
      <c r="HF7" s="930"/>
      <c r="HG7" s="930"/>
      <c r="HH7" s="930"/>
      <c r="HI7" s="930"/>
      <c r="HJ7" s="930"/>
      <c r="HK7" s="930"/>
      <c r="HL7" s="930"/>
      <c r="HM7" s="930"/>
      <c r="HN7" s="930"/>
      <c r="HO7" s="930"/>
      <c r="HP7" s="930"/>
      <c r="HQ7" s="930"/>
      <c r="HR7" s="930"/>
      <c r="HS7" s="930"/>
      <c r="HT7" s="930"/>
      <c r="HU7" s="930"/>
      <c r="HV7" s="930"/>
      <c r="HW7" s="930"/>
      <c r="HX7" s="930"/>
      <c r="HY7" s="930"/>
      <c r="HZ7" s="930"/>
      <c r="IA7" s="930"/>
      <c r="IB7" s="930"/>
      <c r="IC7" s="930"/>
      <c r="ID7" s="930"/>
      <c r="IE7" s="930"/>
      <c r="IF7" s="930"/>
      <c r="IG7" s="930"/>
      <c r="IH7" s="930"/>
      <c r="II7" s="930"/>
      <c r="IJ7" s="930"/>
      <c r="IK7" s="930"/>
      <c r="IL7" s="930"/>
      <c r="IM7" s="930"/>
      <c r="IN7" s="930"/>
      <c r="IO7" s="930"/>
      <c r="IP7" s="930"/>
      <c r="IQ7" s="930"/>
      <c r="IR7" s="930"/>
      <c r="IS7" s="930"/>
      <c r="IT7" s="930"/>
      <c r="IU7" s="930"/>
      <c r="IV7" s="930"/>
    </row>
    <row r="8" spans="1:256">
      <c r="A8" s="932"/>
      <c r="B8" s="932"/>
      <c r="C8" s="932"/>
      <c r="D8" s="932"/>
      <c r="E8" s="932"/>
      <c r="F8" s="932"/>
      <c r="G8" s="932"/>
      <c r="H8" s="932"/>
      <c r="I8" s="932"/>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0"/>
      <c r="AY8" s="930"/>
      <c r="AZ8" s="930"/>
      <c r="BA8" s="930"/>
      <c r="BB8" s="930"/>
      <c r="BC8" s="930"/>
      <c r="BD8" s="930"/>
      <c r="BE8" s="930"/>
      <c r="BF8" s="930"/>
      <c r="BG8" s="930"/>
      <c r="BH8" s="930"/>
      <c r="BI8" s="930"/>
      <c r="BJ8" s="930"/>
      <c r="BK8" s="930"/>
      <c r="BL8" s="930"/>
      <c r="BM8" s="930"/>
      <c r="BN8" s="930"/>
      <c r="BO8" s="930"/>
      <c r="BP8" s="930"/>
      <c r="BQ8" s="930"/>
      <c r="BR8" s="930"/>
      <c r="BS8" s="930"/>
      <c r="BT8" s="930"/>
      <c r="BU8" s="930"/>
      <c r="BV8" s="930"/>
      <c r="BW8" s="930"/>
      <c r="BX8" s="930"/>
      <c r="BY8" s="930"/>
      <c r="BZ8" s="930"/>
      <c r="CA8" s="930"/>
      <c r="CB8" s="930"/>
      <c r="CC8" s="930"/>
      <c r="CD8" s="930"/>
      <c r="CE8" s="930"/>
      <c r="CF8" s="930"/>
      <c r="CG8" s="930"/>
      <c r="CH8" s="930"/>
      <c r="CI8" s="930"/>
      <c r="CJ8" s="930"/>
      <c r="CK8" s="930"/>
      <c r="CL8" s="930"/>
      <c r="CM8" s="930"/>
      <c r="CN8" s="930"/>
      <c r="CO8" s="930"/>
      <c r="CP8" s="930"/>
      <c r="CQ8" s="930"/>
      <c r="CR8" s="930"/>
      <c r="CS8" s="930"/>
      <c r="CT8" s="930"/>
      <c r="CU8" s="930"/>
      <c r="CV8" s="930"/>
      <c r="CW8" s="930"/>
      <c r="CX8" s="930"/>
      <c r="CY8" s="930"/>
      <c r="CZ8" s="930"/>
      <c r="DA8" s="930"/>
      <c r="DB8" s="930"/>
      <c r="DC8" s="930"/>
      <c r="DD8" s="930"/>
      <c r="DE8" s="930"/>
      <c r="DF8" s="930"/>
      <c r="DG8" s="930"/>
      <c r="DH8" s="930"/>
      <c r="DI8" s="930"/>
      <c r="DJ8" s="930"/>
      <c r="DK8" s="930"/>
      <c r="DL8" s="930"/>
      <c r="DM8" s="930"/>
      <c r="DN8" s="930"/>
      <c r="DO8" s="930"/>
      <c r="DP8" s="930"/>
      <c r="DQ8" s="930"/>
      <c r="DR8" s="930"/>
      <c r="DS8" s="930"/>
      <c r="DT8" s="930"/>
      <c r="DU8" s="930"/>
      <c r="DV8" s="930"/>
      <c r="DW8" s="930"/>
      <c r="DX8" s="930"/>
      <c r="DY8" s="930"/>
      <c r="DZ8" s="930"/>
      <c r="EA8" s="930"/>
      <c r="EB8" s="930"/>
      <c r="EC8" s="930"/>
      <c r="ED8" s="930"/>
      <c r="EE8" s="930"/>
      <c r="EF8" s="930"/>
      <c r="EG8" s="930"/>
      <c r="EH8" s="930"/>
      <c r="EI8" s="930"/>
      <c r="EJ8" s="930"/>
      <c r="EK8" s="930"/>
      <c r="EL8" s="930"/>
      <c r="EM8" s="930"/>
      <c r="EN8" s="930"/>
      <c r="EO8" s="930"/>
      <c r="EP8" s="930"/>
      <c r="EQ8" s="930"/>
      <c r="ER8" s="930"/>
      <c r="ES8" s="930"/>
      <c r="ET8" s="930"/>
      <c r="EU8" s="930"/>
      <c r="EV8" s="930"/>
      <c r="EW8" s="930"/>
      <c r="EX8" s="930"/>
      <c r="EY8" s="930"/>
      <c r="EZ8" s="930"/>
      <c r="FA8" s="930"/>
      <c r="FB8" s="930"/>
      <c r="FC8" s="930"/>
      <c r="FD8" s="930"/>
      <c r="FE8" s="930"/>
      <c r="FF8" s="930"/>
      <c r="FG8" s="930"/>
      <c r="FH8" s="930"/>
      <c r="FI8" s="930"/>
      <c r="FJ8" s="930"/>
      <c r="FK8" s="930"/>
      <c r="FL8" s="930"/>
      <c r="FM8" s="930"/>
      <c r="FN8" s="930"/>
      <c r="FO8" s="930"/>
      <c r="FP8" s="930"/>
      <c r="FQ8" s="930"/>
      <c r="FR8" s="930"/>
      <c r="FS8" s="930"/>
      <c r="FT8" s="930"/>
      <c r="FU8" s="930"/>
      <c r="FV8" s="930"/>
      <c r="FW8" s="930"/>
      <c r="FX8" s="930"/>
      <c r="FY8" s="930"/>
      <c r="FZ8" s="930"/>
      <c r="GA8" s="930"/>
      <c r="GB8" s="930"/>
      <c r="GC8" s="930"/>
      <c r="GD8" s="930"/>
      <c r="GE8" s="930"/>
      <c r="GF8" s="930"/>
      <c r="GG8" s="930"/>
      <c r="GH8" s="930"/>
      <c r="GI8" s="930"/>
      <c r="GJ8" s="930"/>
      <c r="GK8" s="930"/>
      <c r="GL8" s="930"/>
      <c r="GM8" s="930"/>
      <c r="GN8" s="930"/>
      <c r="GO8" s="930"/>
      <c r="GP8" s="930"/>
      <c r="GQ8" s="930"/>
      <c r="GR8" s="930"/>
      <c r="GS8" s="930"/>
      <c r="GT8" s="930"/>
      <c r="GU8" s="930"/>
      <c r="GV8" s="930"/>
      <c r="GW8" s="930"/>
      <c r="GX8" s="930"/>
      <c r="GY8" s="930"/>
      <c r="GZ8" s="930"/>
      <c r="HA8" s="930"/>
      <c r="HB8" s="930"/>
      <c r="HC8" s="930"/>
      <c r="HD8" s="930"/>
      <c r="HE8" s="930"/>
      <c r="HF8" s="930"/>
      <c r="HG8" s="930"/>
      <c r="HH8" s="930"/>
      <c r="HI8" s="930"/>
      <c r="HJ8" s="930"/>
      <c r="HK8" s="930"/>
      <c r="HL8" s="930"/>
      <c r="HM8" s="930"/>
      <c r="HN8" s="930"/>
      <c r="HO8" s="930"/>
      <c r="HP8" s="930"/>
      <c r="HQ8" s="930"/>
      <c r="HR8" s="930"/>
      <c r="HS8" s="930"/>
      <c r="HT8" s="930"/>
      <c r="HU8" s="930"/>
      <c r="HV8" s="930"/>
      <c r="HW8" s="930"/>
      <c r="HX8" s="930"/>
      <c r="HY8" s="930"/>
      <c r="HZ8" s="930"/>
      <c r="IA8" s="930"/>
      <c r="IB8" s="930"/>
      <c r="IC8" s="930"/>
      <c r="ID8" s="930"/>
      <c r="IE8" s="930"/>
      <c r="IF8" s="930"/>
      <c r="IG8" s="930"/>
      <c r="IH8" s="930"/>
      <c r="II8" s="930"/>
      <c r="IJ8" s="930"/>
      <c r="IK8" s="930"/>
      <c r="IL8" s="930"/>
      <c r="IM8" s="930"/>
      <c r="IN8" s="930"/>
      <c r="IO8" s="930"/>
      <c r="IP8" s="930"/>
      <c r="IQ8" s="930"/>
      <c r="IR8" s="930"/>
      <c r="IS8" s="930"/>
      <c r="IT8" s="930"/>
      <c r="IU8" s="930"/>
      <c r="IV8" s="930"/>
    </row>
    <row r="9" spans="1:256">
      <c r="B9" s="932"/>
      <c r="C9" s="932"/>
      <c r="D9" s="932"/>
      <c r="E9" s="932"/>
      <c r="F9" s="932"/>
      <c r="G9" s="932"/>
      <c r="H9" s="932"/>
      <c r="I9" s="932"/>
      <c r="J9" s="930"/>
      <c r="K9" s="930"/>
      <c r="L9" s="930"/>
      <c r="M9" s="930"/>
      <c r="N9" s="930"/>
      <c r="O9" s="930"/>
      <c r="P9" s="930"/>
      <c r="Q9" s="930"/>
      <c r="R9" s="930"/>
      <c r="S9" s="930"/>
      <c r="T9" s="930"/>
      <c r="U9" s="930"/>
      <c r="V9" s="930"/>
      <c r="W9" s="930"/>
      <c r="X9" s="930"/>
      <c r="Y9" s="930"/>
      <c r="Z9" s="930"/>
      <c r="AA9" s="930"/>
      <c r="AB9" s="930"/>
      <c r="AC9" s="930"/>
      <c r="AD9" s="930"/>
      <c r="AE9" s="930"/>
      <c r="AF9" s="930"/>
      <c r="AG9" s="930"/>
      <c r="AH9" s="930"/>
      <c r="AI9" s="930"/>
      <c r="AJ9" s="930"/>
      <c r="AK9" s="930"/>
      <c r="AL9" s="930"/>
      <c r="AM9" s="930"/>
      <c r="AN9" s="930"/>
      <c r="AO9" s="930"/>
      <c r="AP9" s="930"/>
      <c r="AQ9" s="930"/>
      <c r="AR9" s="930"/>
      <c r="AS9" s="930"/>
      <c r="AT9" s="930"/>
      <c r="AU9" s="930"/>
      <c r="AV9" s="930"/>
      <c r="AW9" s="930"/>
      <c r="AX9" s="930"/>
      <c r="AY9" s="930"/>
      <c r="AZ9" s="930"/>
      <c r="BA9" s="930"/>
      <c r="BB9" s="930"/>
      <c r="BC9" s="930"/>
      <c r="BD9" s="930"/>
      <c r="BE9" s="930"/>
      <c r="BF9" s="930"/>
      <c r="BG9" s="930"/>
      <c r="BH9" s="930"/>
      <c r="BI9" s="930"/>
      <c r="BJ9" s="930"/>
      <c r="BK9" s="930"/>
      <c r="BL9" s="930"/>
      <c r="BM9" s="930"/>
      <c r="BN9" s="930"/>
      <c r="BO9" s="930"/>
      <c r="BP9" s="930"/>
      <c r="BQ9" s="930"/>
      <c r="BR9" s="930"/>
      <c r="BS9" s="930"/>
      <c r="BT9" s="930"/>
      <c r="BU9" s="930"/>
      <c r="BV9" s="930"/>
      <c r="BW9" s="930"/>
      <c r="BX9" s="930"/>
      <c r="BY9" s="930"/>
      <c r="BZ9" s="930"/>
      <c r="CA9" s="930"/>
      <c r="CB9" s="930"/>
      <c r="CC9" s="930"/>
      <c r="CD9" s="930"/>
      <c r="CE9" s="930"/>
      <c r="CF9" s="930"/>
      <c r="CG9" s="930"/>
      <c r="CH9" s="930"/>
      <c r="CI9" s="930"/>
      <c r="CJ9" s="930"/>
      <c r="CK9" s="930"/>
      <c r="CL9" s="930"/>
      <c r="CM9" s="930"/>
      <c r="CN9" s="930"/>
      <c r="CO9" s="930"/>
      <c r="CP9" s="930"/>
      <c r="CQ9" s="930"/>
      <c r="CR9" s="930"/>
      <c r="CS9" s="930"/>
      <c r="CT9" s="930"/>
      <c r="CU9" s="930"/>
      <c r="CV9" s="930"/>
      <c r="CW9" s="930"/>
      <c r="CX9" s="930"/>
      <c r="CY9" s="930"/>
      <c r="CZ9" s="930"/>
      <c r="DA9" s="930"/>
      <c r="DB9" s="930"/>
      <c r="DC9" s="930"/>
      <c r="DD9" s="930"/>
      <c r="DE9" s="930"/>
      <c r="DF9" s="930"/>
      <c r="DG9" s="930"/>
      <c r="DH9" s="930"/>
      <c r="DI9" s="930"/>
      <c r="DJ9" s="930"/>
      <c r="DK9" s="930"/>
      <c r="DL9" s="930"/>
      <c r="DM9" s="930"/>
      <c r="DN9" s="930"/>
      <c r="DO9" s="930"/>
      <c r="DP9" s="930"/>
      <c r="DQ9" s="930"/>
      <c r="DR9" s="930"/>
      <c r="DS9" s="930"/>
      <c r="DT9" s="930"/>
      <c r="DU9" s="930"/>
      <c r="DV9" s="930"/>
      <c r="DW9" s="930"/>
      <c r="DX9" s="930"/>
      <c r="DY9" s="930"/>
      <c r="DZ9" s="930"/>
      <c r="EA9" s="930"/>
      <c r="EB9" s="930"/>
      <c r="EC9" s="930"/>
      <c r="ED9" s="930"/>
      <c r="EE9" s="930"/>
      <c r="EF9" s="930"/>
      <c r="EG9" s="930"/>
      <c r="EH9" s="930"/>
      <c r="EI9" s="930"/>
      <c r="EJ9" s="930"/>
      <c r="EK9" s="930"/>
      <c r="EL9" s="930"/>
      <c r="EM9" s="930"/>
      <c r="EN9" s="930"/>
      <c r="EO9" s="930"/>
      <c r="EP9" s="930"/>
      <c r="EQ9" s="930"/>
      <c r="ER9" s="930"/>
      <c r="ES9" s="930"/>
      <c r="ET9" s="930"/>
      <c r="EU9" s="930"/>
      <c r="EV9" s="930"/>
      <c r="EW9" s="930"/>
      <c r="EX9" s="930"/>
      <c r="EY9" s="930"/>
      <c r="EZ9" s="930"/>
      <c r="FA9" s="930"/>
      <c r="FB9" s="930"/>
      <c r="FC9" s="930"/>
      <c r="FD9" s="930"/>
      <c r="FE9" s="930"/>
      <c r="FF9" s="930"/>
      <c r="FG9" s="930"/>
      <c r="FH9" s="930"/>
      <c r="FI9" s="930"/>
      <c r="FJ9" s="930"/>
      <c r="FK9" s="930"/>
      <c r="FL9" s="930"/>
      <c r="FM9" s="930"/>
      <c r="FN9" s="930"/>
      <c r="FO9" s="930"/>
      <c r="FP9" s="930"/>
      <c r="FQ9" s="930"/>
      <c r="FR9" s="930"/>
      <c r="FS9" s="930"/>
      <c r="FT9" s="930"/>
      <c r="FU9" s="930"/>
      <c r="FV9" s="930"/>
      <c r="FW9" s="930"/>
      <c r="FX9" s="930"/>
      <c r="FY9" s="930"/>
      <c r="FZ9" s="930"/>
      <c r="GA9" s="930"/>
      <c r="GB9" s="930"/>
      <c r="GC9" s="930"/>
      <c r="GD9" s="930"/>
      <c r="GE9" s="930"/>
      <c r="GF9" s="930"/>
      <c r="GG9" s="930"/>
      <c r="GH9" s="930"/>
      <c r="GI9" s="930"/>
      <c r="GJ9" s="930"/>
      <c r="GK9" s="930"/>
      <c r="GL9" s="930"/>
      <c r="GM9" s="930"/>
      <c r="GN9" s="930"/>
      <c r="GO9" s="930"/>
      <c r="GP9" s="930"/>
      <c r="GQ9" s="930"/>
      <c r="GR9" s="930"/>
      <c r="GS9" s="930"/>
      <c r="GT9" s="930"/>
      <c r="GU9" s="930"/>
      <c r="GV9" s="930"/>
      <c r="GW9" s="930"/>
      <c r="GX9" s="930"/>
      <c r="GY9" s="930"/>
      <c r="GZ9" s="930"/>
      <c r="HA9" s="930"/>
      <c r="HB9" s="930"/>
      <c r="HC9" s="930"/>
      <c r="HD9" s="930"/>
      <c r="HE9" s="930"/>
      <c r="HF9" s="930"/>
      <c r="HG9" s="930"/>
      <c r="HH9" s="930"/>
      <c r="HI9" s="930"/>
      <c r="HJ9" s="930"/>
      <c r="HK9" s="930"/>
      <c r="HL9" s="930"/>
      <c r="HM9" s="930"/>
      <c r="HN9" s="930"/>
      <c r="HO9" s="930"/>
      <c r="HP9" s="930"/>
      <c r="HQ9" s="930"/>
      <c r="HR9" s="930"/>
      <c r="HS9" s="930"/>
      <c r="HT9" s="930"/>
      <c r="HU9" s="930"/>
      <c r="HV9" s="930"/>
      <c r="HW9" s="930"/>
      <c r="HX9" s="930"/>
      <c r="HY9" s="930"/>
      <c r="HZ9" s="930"/>
      <c r="IA9" s="930"/>
      <c r="IB9" s="930"/>
      <c r="IC9" s="930"/>
      <c r="ID9" s="930"/>
      <c r="IE9" s="930"/>
      <c r="IF9" s="930"/>
      <c r="IG9" s="930"/>
      <c r="IH9" s="930"/>
      <c r="II9" s="930"/>
      <c r="IJ9" s="930"/>
      <c r="IK9" s="930"/>
      <c r="IL9" s="930"/>
      <c r="IM9" s="930"/>
      <c r="IN9" s="930"/>
      <c r="IO9" s="930"/>
      <c r="IP9" s="930"/>
      <c r="IQ9" s="930"/>
      <c r="IR9" s="930"/>
      <c r="IS9" s="930"/>
      <c r="IT9" s="930"/>
      <c r="IU9" s="930"/>
      <c r="IV9" s="930"/>
    </row>
    <row r="10" spans="1:256">
      <c r="A10" s="933" t="s">
        <v>1114</v>
      </c>
      <c r="B10" s="932"/>
      <c r="C10" s="930"/>
      <c r="D10" s="932"/>
      <c r="E10" s="1569" t="s">
        <v>384</v>
      </c>
      <c r="F10" s="1569"/>
      <c r="G10" s="932"/>
      <c r="H10" s="932"/>
      <c r="I10" s="932"/>
      <c r="J10" s="930"/>
      <c r="K10" s="930"/>
      <c r="L10" s="930"/>
      <c r="M10" s="930"/>
      <c r="N10" s="930"/>
      <c r="O10" s="930"/>
      <c r="P10" s="930"/>
      <c r="Q10" s="930"/>
      <c r="R10" s="930"/>
      <c r="S10" s="930"/>
      <c r="T10" s="930"/>
      <c r="U10" s="930"/>
      <c r="V10" s="930"/>
      <c r="W10" s="930"/>
      <c r="X10" s="930"/>
      <c r="Y10" s="930"/>
      <c r="Z10" s="930"/>
      <c r="AA10" s="930"/>
      <c r="AB10" s="930"/>
      <c r="AC10" s="930"/>
      <c r="AD10" s="930"/>
      <c r="AE10" s="930"/>
      <c r="AF10" s="930"/>
      <c r="AG10" s="930"/>
      <c r="AH10" s="930"/>
      <c r="AI10" s="930"/>
      <c r="AJ10" s="930"/>
      <c r="AK10" s="930"/>
      <c r="AL10" s="930"/>
      <c r="AM10" s="930"/>
      <c r="AN10" s="930"/>
      <c r="AO10" s="930"/>
      <c r="AP10" s="930"/>
      <c r="AQ10" s="930"/>
      <c r="AR10" s="930"/>
      <c r="AS10" s="930"/>
      <c r="AT10" s="930"/>
      <c r="AU10" s="930"/>
      <c r="AV10" s="930"/>
      <c r="AW10" s="930"/>
      <c r="AX10" s="930"/>
      <c r="AY10" s="930"/>
      <c r="AZ10" s="930"/>
      <c r="BA10" s="930"/>
      <c r="BB10" s="930"/>
      <c r="BC10" s="930"/>
      <c r="BD10" s="930"/>
      <c r="BE10" s="930"/>
      <c r="BF10" s="930"/>
      <c r="BG10" s="930"/>
      <c r="BH10" s="930"/>
      <c r="BI10" s="930"/>
      <c r="BJ10" s="930"/>
      <c r="BK10" s="930"/>
      <c r="BL10" s="930"/>
      <c r="BM10" s="930"/>
      <c r="BN10" s="930"/>
      <c r="BO10" s="930"/>
      <c r="BP10" s="930"/>
      <c r="BQ10" s="930"/>
      <c r="BR10" s="930"/>
      <c r="BS10" s="930"/>
      <c r="BT10" s="930"/>
      <c r="BU10" s="930"/>
      <c r="BV10" s="930"/>
      <c r="BW10" s="930"/>
      <c r="BX10" s="930"/>
      <c r="BY10" s="930"/>
      <c r="BZ10" s="930"/>
      <c r="CA10" s="930"/>
      <c r="CB10" s="930"/>
      <c r="CC10" s="930"/>
      <c r="CD10" s="930"/>
      <c r="CE10" s="930"/>
      <c r="CF10" s="930"/>
      <c r="CG10" s="930"/>
      <c r="CH10" s="930"/>
      <c r="CI10" s="930"/>
      <c r="CJ10" s="930"/>
      <c r="CK10" s="930"/>
      <c r="CL10" s="930"/>
      <c r="CM10" s="930"/>
      <c r="CN10" s="930"/>
      <c r="CO10" s="930"/>
      <c r="CP10" s="930"/>
      <c r="CQ10" s="930"/>
      <c r="CR10" s="930"/>
      <c r="CS10" s="930"/>
      <c r="CT10" s="930"/>
      <c r="CU10" s="930"/>
      <c r="CV10" s="930"/>
      <c r="CW10" s="930"/>
      <c r="CX10" s="930"/>
      <c r="CY10" s="930"/>
      <c r="CZ10" s="930"/>
      <c r="DA10" s="930"/>
      <c r="DB10" s="930"/>
      <c r="DC10" s="930"/>
      <c r="DD10" s="930"/>
      <c r="DE10" s="930"/>
      <c r="DF10" s="930"/>
      <c r="DG10" s="930"/>
      <c r="DH10" s="930"/>
      <c r="DI10" s="930"/>
      <c r="DJ10" s="930"/>
      <c r="DK10" s="930"/>
      <c r="DL10" s="930"/>
      <c r="DM10" s="930"/>
      <c r="DN10" s="930"/>
      <c r="DO10" s="930"/>
      <c r="DP10" s="930"/>
      <c r="DQ10" s="930"/>
      <c r="DR10" s="930"/>
      <c r="DS10" s="930"/>
      <c r="DT10" s="930"/>
      <c r="DU10" s="930"/>
      <c r="DV10" s="930"/>
      <c r="DW10" s="930"/>
      <c r="DX10" s="930"/>
      <c r="DY10" s="930"/>
      <c r="DZ10" s="930"/>
      <c r="EA10" s="930"/>
      <c r="EB10" s="930"/>
      <c r="EC10" s="930"/>
      <c r="ED10" s="930"/>
      <c r="EE10" s="930"/>
      <c r="EF10" s="930"/>
      <c r="EG10" s="930"/>
      <c r="EH10" s="930"/>
      <c r="EI10" s="930"/>
      <c r="EJ10" s="930"/>
      <c r="EK10" s="930"/>
      <c r="EL10" s="930"/>
      <c r="EM10" s="930"/>
      <c r="EN10" s="930"/>
      <c r="EO10" s="930"/>
      <c r="EP10" s="930"/>
      <c r="EQ10" s="930"/>
      <c r="ER10" s="930"/>
      <c r="ES10" s="930"/>
      <c r="ET10" s="930"/>
      <c r="EU10" s="930"/>
      <c r="EV10" s="930"/>
      <c r="EW10" s="930"/>
      <c r="EX10" s="930"/>
      <c r="EY10" s="930"/>
      <c r="EZ10" s="930"/>
      <c r="FA10" s="930"/>
      <c r="FB10" s="930"/>
      <c r="FC10" s="930"/>
      <c r="FD10" s="930"/>
      <c r="FE10" s="930"/>
      <c r="FF10" s="930"/>
      <c r="FG10" s="930"/>
      <c r="FH10" s="930"/>
      <c r="FI10" s="930"/>
      <c r="FJ10" s="930"/>
      <c r="FK10" s="930"/>
      <c r="FL10" s="930"/>
      <c r="FM10" s="930"/>
      <c r="FN10" s="930"/>
      <c r="FO10" s="930"/>
      <c r="FP10" s="930"/>
      <c r="FQ10" s="930"/>
      <c r="FR10" s="930"/>
      <c r="FS10" s="930"/>
      <c r="FT10" s="930"/>
      <c r="FU10" s="930"/>
      <c r="FV10" s="930"/>
      <c r="FW10" s="930"/>
      <c r="FX10" s="930"/>
      <c r="FY10" s="930"/>
      <c r="FZ10" s="930"/>
      <c r="GA10" s="930"/>
      <c r="GB10" s="930"/>
      <c r="GC10" s="930"/>
      <c r="GD10" s="930"/>
      <c r="GE10" s="930"/>
      <c r="GF10" s="930"/>
      <c r="GG10" s="930"/>
      <c r="GH10" s="930"/>
      <c r="GI10" s="930"/>
      <c r="GJ10" s="930"/>
      <c r="GK10" s="930"/>
      <c r="GL10" s="930"/>
      <c r="GM10" s="930"/>
      <c r="GN10" s="930"/>
      <c r="GO10" s="930"/>
      <c r="GP10" s="930"/>
      <c r="GQ10" s="930"/>
      <c r="GR10" s="930"/>
      <c r="GS10" s="930"/>
      <c r="GT10" s="930"/>
      <c r="GU10" s="930"/>
      <c r="GV10" s="930"/>
      <c r="GW10" s="930"/>
      <c r="GX10" s="930"/>
      <c r="GY10" s="930"/>
      <c r="GZ10" s="930"/>
      <c r="HA10" s="930"/>
      <c r="HB10" s="930"/>
      <c r="HC10" s="930"/>
      <c r="HD10" s="930"/>
      <c r="HE10" s="930"/>
      <c r="HF10" s="930"/>
      <c r="HG10" s="930"/>
      <c r="HH10" s="930"/>
      <c r="HI10" s="930"/>
      <c r="HJ10" s="930"/>
      <c r="HK10" s="930"/>
      <c r="HL10" s="930"/>
      <c r="HM10" s="930"/>
      <c r="HN10" s="930"/>
      <c r="HO10" s="930"/>
      <c r="HP10" s="930"/>
      <c r="HQ10" s="930"/>
      <c r="HR10" s="930"/>
      <c r="HS10" s="930"/>
      <c r="HT10" s="930"/>
      <c r="HU10" s="930"/>
      <c r="HV10" s="930"/>
      <c r="HW10" s="930"/>
      <c r="HX10" s="930"/>
      <c r="HY10" s="930"/>
      <c r="HZ10" s="930"/>
      <c r="IA10" s="930"/>
      <c r="IB10" s="930"/>
      <c r="IC10" s="930"/>
      <c r="ID10" s="930"/>
      <c r="IE10" s="930"/>
      <c r="IF10" s="930"/>
      <c r="IG10" s="930"/>
      <c r="IH10" s="930"/>
      <c r="II10" s="930"/>
      <c r="IJ10" s="930"/>
      <c r="IK10" s="930"/>
      <c r="IL10" s="930"/>
      <c r="IM10" s="930"/>
      <c r="IN10" s="930"/>
      <c r="IO10" s="930"/>
      <c r="IP10" s="930"/>
      <c r="IQ10" s="930"/>
      <c r="IR10" s="930"/>
      <c r="IS10" s="930"/>
      <c r="IT10" s="930"/>
      <c r="IU10" s="930"/>
      <c r="IV10" s="930"/>
    </row>
    <row r="11" spans="1:256">
      <c r="A11" s="935">
        <v>1</v>
      </c>
      <c r="B11" s="936" t="s">
        <v>1468</v>
      </c>
      <c r="C11" s="936"/>
      <c r="D11" s="936"/>
      <c r="E11" s="936" t="s">
        <v>577</v>
      </c>
      <c r="F11" s="932"/>
      <c r="G11" s="930"/>
      <c r="H11" s="869">
        <f>+'SWEPCO WS C-1 ADIT EOY'!H52</f>
        <v>-1410895282.3599997</v>
      </c>
      <c r="I11" s="932"/>
      <c r="J11" s="930"/>
      <c r="K11" s="930"/>
      <c r="L11" s="930"/>
      <c r="M11" s="930"/>
      <c r="N11" s="930"/>
      <c r="O11" s="930"/>
      <c r="P11" s="930"/>
      <c r="Q11" s="930"/>
      <c r="R11" s="930"/>
      <c r="S11" s="930"/>
      <c r="T11" s="930"/>
      <c r="U11" s="930"/>
      <c r="V11" s="930"/>
      <c r="W11" s="930"/>
      <c r="X11" s="930"/>
      <c r="Y11" s="930"/>
      <c r="Z11" s="930"/>
      <c r="AA11" s="930"/>
      <c r="AB11" s="930"/>
      <c r="AC11" s="930"/>
      <c r="AD11" s="930"/>
      <c r="AE11" s="930"/>
      <c r="AF11" s="930"/>
      <c r="AG11" s="930"/>
      <c r="AH11" s="930"/>
      <c r="AI11" s="930"/>
      <c r="AJ11" s="930"/>
      <c r="AK11" s="930"/>
      <c r="AL11" s="930"/>
      <c r="AM11" s="930"/>
      <c r="AN11" s="930"/>
      <c r="AO11" s="930"/>
      <c r="AP11" s="930"/>
      <c r="AQ11" s="930"/>
      <c r="AR11" s="930"/>
      <c r="AS11" s="930"/>
      <c r="AT11" s="930"/>
      <c r="AU11" s="930"/>
      <c r="AV11" s="930"/>
      <c r="AW11" s="930"/>
      <c r="AX11" s="930"/>
      <c r="AY11" s="930"/>
      <c r="AZ11" s="930"/>
      <c r="BA11" s="930"/>
      <c r="BB11" s="930"/>
      <c r="BC11" s="930"/>
      <c r="BD11" s="930"/>
      <c r="BE11" s="930"/>
      <c r="BF11" s="930"/>
      <c r="BG11" s="930"/>
      <c r="BH11" s="930"/>
      <c r="BI11" s="930"/>
      <c r="BJ11" s="930"/>
      <c r="BK11" s="930"/>
      <c r="BL11" s="930"/>
      <c r="BM11" s="930"/>
      <c r="BN11" s="930"/>
      <c r="BO11" s="930"/>
      <c r="BP11" s="930"/>
      <c r="BQ11" s="930"/>
      <c r="BR11" s="930"/>
      <c r="BS11" s="930"/>
      <c r="BT11" s="930"/>
      <c r="BU11" s="930"/>
      <c r="BV11" s="930"/>
      <c r="BW11" s="930"/>
      <c r="BX11" s="930"/>
      <c r="BY11" s="930"/>
      <c r="BZ11" s="930"/>
      <c r="CA11" s="930"/>
      <c r="CB11" s="930"/>
      <c r="CC11" s="930"/>
      <c r="CD11" s="930"/>
      <c r="CE11" s="930"/>
      <c r="CF11" s="930"/>
      <c r="CG11" s="930"/>
      <c r="CH11" s="930"/>
      <c r="CI11" s="930"/>
      <c r="CJ11" s="930"/>
      <c r="CK11" s="930"/>
      <c r="CL11" s="930"/>
      <c r="CM11" s="930"/>
      <c r="CN11" s="930"/>
      <c r="CO11" s="930"/>
      <c r="CP11" s="930"/>
      <c r="CQ11" s="930"/>
      <c r="CR11" s="930"/>
      <c r="CS11" s="930"/>
      <c r="CT11" s="930"/>
      <c r="CU11" s="930"/>
      <c r="CV11" s="930"/>
      <c r="CW11" s="930"/>
      <c r="CX11" s="930"/>
      <c r="CY11" s="930"/>
      <c r="CZ11" s="930"/>
      <c r="DA11" s="930"/>
      <c r="DB11" s="930"/>
      <c r="DC11" s="930"/>
      <c r="DD11" s="930"/>
      <c r="DE11" s="930"/>
      <c r="DF11" s="930"/>
      <c r="DG11" s="930"/>
      <c r="DH11" s="930"/>
      <c r="DI11" s="930"/>
      <c r="DJ11" s="930"/>
      <c r="DK11" s="930"/>
      <c r="DL11" s="930"/>
      <c r="DM11" s="930"/>
      <c r="DN11" s="930"/>
      <c r="DO11" s="930"/>
      <c r="DP11" s="930"/>
      <c r="DQ11" s="930"/>
      <c r="DR11" s="930"/>
      <c r="DS11" s="930"/>
      <c r="DT11" s="930"/>
      <c r="DU11" s="930"/>
      <c r="DV11" s="930"/>
      <c r="DW11" s="930"/>
      <c r="DX11" s="930"/>
      <c r="DY11" s="930"/>
      <c r="DZ11" s="930"/>
      <c r="EA11" s="930"/>
      <c r="EB11" s="930"/>
      <c r="EC11" s="930"/>
      <c r="ED11" s="930"/>
      <c r="EE11" s="930"/>
      <c r="EF11" s="930"/>
      <c r="EG11" s="930"/>
      <c r="EH11" s="930"/>
      <c r="EI11" s="930"/>
      <c r="EJ11" s="930"/>
      <c r="EK11" s="930"/>
      <c r="EL11" s="930"/>
      <c r="EM11" s="930"/>
      <c r="EN11" s="930"/>
      <c r="EO11" s="930"/>
      <c r="EP11" s="930"/>
      <c r="EQ11" s="930"/>
      <c r="ER11" s="930"/>
      <c r="ES11" s="930"/>
      <c r="ET11" s="930"/>
      <c r="EU11" s="930"/>
      <c r="EV11" s="930"/>
      <c r="EW11" s="930"/>
      <c r="EX11" s="930"/>
      <c r="EY11" s="930"/>
      <c r="EZ11" s="930"/>
      <c r="FA11" s="930"/>
      <c r="FB11" s="930"/>
      <c r="FC11" s="930"/>
      <c r="FD11" s="930"/>
      <c r="FE11" s="930"/>
      <c r="FF11" s="930"/>
      <c r="FG11" s="930"/>
      <c r="FH11" s="930"/>
      <c r="FI11" s="930"/>
      <c r="FJ11" s="930"/>
      <c r="FK11" s="930"/>
      <c r="FL11" s="930"/>
      <c r="FM11" s="930"/>
      <c r="FN11" s="930"/>
      <c r="FO11" s="930"/>
      <c r="FP11" s="930"/>
      <c r="FQ11" s="930"/>
      <c r="FR11" s="930"/>
      <c r="FS11" s="930"/>
      <c r="FT11" s="930"/>
      <c r="FU11" s="930"/>
      <c r="FV11" s="930"/>
      <c r="FW11" s="930"/>
      <c r="FX11" s="930"/>
      <c r="FY11" s="930"/>
      <c r="FZ11" s="930"/>
      <c r="GA11" s="930"/>
      <c r="GB11" s="930"/>
      <c r="GC11" s="930"/>
      <c r="GD11" s="930"/>
      <c r="GE11" s="930"/>
      <c r="GF11" s="930"/>
      <c r="GG11" s="930"/>
      <c r="GH11" s="930"/>
      <c r="GI11" s="930"/>
      <c r="GJ11" s="930"/>
      <c r="GK11" s="930"/>
      <c r="GL11" s="930"/>
      <c r="GM11" s="930"/>
      <c r="GN11" s="930"/>
      <c r="GO11" s="930"/>
      <c r="GP11" s="930"/>
      <c r="GQ11" s="930"/>
      <c r="GR11" s="930"/>
      <c r="GS11" s="930"/>
      <c r="GT11" s="930"/>
      <c r="GU11" s="930"/>
      <c r="GV11" s="930"/>
      <c r="GW11" s="930"/>
      <c r="GX11" s="930"/>
      <c r="GY11" s="930"/>
      <c r="GZ11" s="930"/>
      <c r="HA11" s="930"/>
      <c r="HB11" s="930"/>
      <c r="HC11" s="930"/>
      <c r="HD11" s="930"/>
      <c r="HE11" s="930"/>
      <c r="HF11" s="930"/>
      <c r="HG11" s="930"/>
      <c r="HH11" s="930"/>
      <c r="HI11" s="930"/>
      <c r="HJ11" s="930"/>
      <c r="HK11" s="930"/>
      <c r="HL11" s="930"/>
      <c r="HM11" s="930"/>
      <c r="HN11" s="930"/>
      <c r="HO11" s="930"/>
      <c r="HP11" s="930"/>
      <c r="HQ11" s="930"/>
      <c r="HR11" s="930"/>
      <c r="HS11" s="930"/>
      <c r="HT11" s="930"/>
      <c r="HU11" s="930"/>
      <c r="HV11" s="930"/>
      <c r="HW11" s="930"/>
      <c r="HX11" s="930"/>
      <c r="HY11" s="930"/>
      <c r="HZ11" s="930"/>
      <c r="IA11" s="930"/>
      <c r="IB11" s="930"/>
      <c r="IC11" s="930"/>
      <c r="ID11" s="930"/>
      <c r="IE11" s="930"/>
      <c r="IF11" s="930"/>
      <c r="IG11" s="930"/>
      <c r="IH11" s="930"/>
      <c r="II11" s="930"/>
      <c r="IJ11" s="930"/>
      <c r="IK11" s="930"/>
      <c r="IL11" s="930"/>
      <c r="IM11" s="930"/>
      <c r="IN11" s="930"/>
      <c r="IO11" s="930"/>
      <c r="IP11" s="930"/>
      <c r="IQ11" s="930"/>
      <c r="IR11" s="930"/>
      <c r="IS11" s="930"/>
      <c r="IT11" s="930"/>
      <c r="IU11" s="930"/>
      <c r="IV11" s="930"/>
    </row>
    <row r="12" spans="1:256">
      <c r="A12" s="935">
        <f>+A11+1</f>
        <v>2</v>
      </c>
      <c r="B12" s="936" t="s">
        <v>1469</v>
      </c>
      <c r="C12" s="936"/>
      <c r="D12" s="936"/>
      <c r="E12" s="936" t="s">
        <v>578</v>
      </c>
      <c r="F12" s="932"/>
      <c r="G12" s="930"/>
      <c r="H12" s="869">
        <f>+'SWEPCO WS C-2 ADIT BOY'!H50</f>
        <v>-1376177457.3599997</v>
      </c>
      <c r="I12" s="932"/>
      <c r="J12" s="930"/>
      <c r="K12" s="930"/>
      <c r="L12" s="930"/>
      <c r="M12" s="930"/>
      <c r="N12" s="930"/>
      <c r="O12" s="930"/>
      <c r="P12" s="930"/>
      <c r="Q12" s="930"/>
      <c r="R12" s="930"/>
      <c r="S12" s="930"/>
      <c r="T12" s="930"/>
      <c r="U12" s="930"/>
      <c r="V12" s="930"/>
      <c r="W12" s="930"/>
      <c r="X12" s="930"/>
      <c r="Y12" s="930"/>
      <c r="Z12" s="930"/>
      <c r="AA12" s="930"/>
      <c r="AB12" s="930"/>
      <c r="AC12" s="930"/>
      <c r="AD12" s="930"/>
      <c r="AE12" s="930"/>
      <c r="AF12" s="930"/>
      <c r="AG12" s="930"/>
      <c r="AH12" s="930"/>
      <c r="AI12" s="930"/>
      <c r="AJ12" s="930"/>
      <c r="AK12" s="930"/>
      <c r="AL12" s="930"/>
      <c r="AM12" s="930"/>
      <c r="AN12" s="930"/>
      <c r="AO12" s="930"/>
      <c r="AP12" s="930"/>
      <c r="AQ12" s="930"/>
      <c r="AR12" s="930"/>
      <c r="AS12" s="930"/>
      <c r="AT12" s="930"/>
      <c r="AU12" s="930"/>
      <c r="AV12" s="930"/>
      <c r="AW12" s="930"/>
      <c r="AX12" s="930"/>
      <c r="AY12" s="930"/>
      <c r="AZ12" s="930"/>
      <c r="BA12" s="930"/>
      <c r="BB12" s="930"/>
      <c r="BC12" s="930"/>
      <c r="BD12" s="930"/>
      <c r="BE12" s="930"/>
      <c r="BF12" s="930"/>
      <c r="BG12" s="930"/>
      <c r="BH12" s="930"/>
      <c r="BI12" s="930"/>
      <c r="BJ12" s="930"/>
      <c r="BK12" s="930"/>
      <c r="BL12" s="930"/>
      <c r="BM12" s="930"/>
      <c r="BN12" s="930"/>
      <c r="BO12" s="930"/>
      <c r="BP12" s="930"/>
      <c r="BQ12" s="930"/>
      <c r="BR12" s="930"/>
      <c r="BS12" s="930"/>
      <c r="BT12" s="930"/>
      <c r="BU12" s="930"/>
      <c r="BV12" s="930"/>
      <c r="BW12" s="930"/>
      <c r="BX12" s="930"/>
      <c r="BY12" s="930"/>
      <c r="BZ12" s="930"/>
      <c r="CA12" s="930"/>
      <c r="CB12" s="930"/>
      <c r="CC12" s="930"/>
      <c r="CD12" s="930"/>
      <c r="CE12" s="930"/>
      <c r="CF12" s="930"/>
      <c r="CG12" s="930"/>
      <c r="CH12" s="930"/>
      <c r="CI12" s="930"/>
      <c r="CJ12" s="930"/>
      <c r="CK12" s="930"/>
      <c r="CL12" s="930"/>
      <c r="CM12" s="930"/>
      <c r="CN12" s="930"/>
      <c r="CO12" s="930"/>
      <c r="CP12" s="930"/>
      <c r="CQ12" s="930"/>
      <c r="CR12" s="930"/>
      <c r="CS12" s="930"/>
      <c r="CT12" s="930"/>
      <c r="CU12" s="930"/>
      <c r="CV12" s="930"/>
      <c r="CW12" s="930"/>
      <c r="CX12" s="930"/>
      <c r="CY12" s="930"/>
      <c r="CZ12" s="930"/>
      <c r="DA12" s="930"/>
      <c r="DB12" s="930"/>
      <c r="DC12" s="930"/>
      <c r="DD12" s="930"/>
      <c r="DE12" s="930"/>
      <c r="DF12" s="930"/>
      <c r="DG12" s="930"/>
      <c r="DH12" s="930"/>
      <c r="DI12" s="930"/>
      <c r="DJ12" s="930"/>
      <c r="DK12" s="930"/>
      <c r="DL12" s="930"/>
      <c r="DM12" s="930"/>
      <c r="DN12" s="930"/>
      <c r="DO12" s="930"/>
      <c r="DP12" s="930"/>
      <c r="DQ12" s="930"/>
      <c r="DR12" s="930"/>
      <c r="DS12" s="930"/>
      <c r="DT12" s="930"/>
      <c r="DU12" s="930"/>
      <c r="DV12" s="930"/>
      <c r="DW12" s="930"/>
      <c r="DX12" s="930"/>
      <c r="DY12" s="930"/>
      <c r="DZ12" s="930"/>
      <c r="EA12" s="930"/>
      <c r="EB12" s="930"/>
      <c r="EC12" s="930"/>
      <c r="ED12" s="930"/>
      <c r="EE12" s="930"/>
      <c r="EF12" s="930"/>
      <c r="EG12" s="930"/>
      <c r="EH12" s="930"/>
      <c r="EI12" s="930"/>
      <c r="EJ12" s="930"/>
      <c r="EK12" s="930"/>
      <c r="EL12" s="930"/>
      <c r="EM12" s="930"/>
      <c r="EN12" s="930"/>
      <c r="EO12" s="930"/>
      <c r="EP12" s="930"/>
      <c r="EQ12" s="930"/>
      <c r="ER12" s="930"/>
      <c r="ES12" s="930"/>
      <c r="ET12" s="930"/>
      <c r="EU12" s="930"/>
      <c r="EV12" s="930"/>
      <c r="EW12" s="930"/>
      <c r="EX12" s="930"/>
      <c r="EY12" s="930"/>
      <c r="EZ12" s="930"/>
      <c r="FA12" s="930"/>
      <c r="FB12" s="930"/>
      <c r="FC12" s="930"/>
      <c r="FD12" s="930"/>
      <c r="FE12" s="930"/>
      <c r="FF12" s="930"/>
      <c r="FG12" s="930"/>
      <c r="FH12" s="930"/>
      <c r="FI12" s="930"/>
      <c r="FJ12" s="930"/>
      <c r="FK12" s="930"/>
      <c r="FL12" s="930"/>
      <c r="FM12" s="930"/>
      <c r="FN12" s="930"/>
      <c r="FO12" s="930"/>
      <c r="FP12" s="930"/>
      <c r="FQ12" s="930"/>
      <c r="FR12" s="930"/>
      <c r="FS12" s="930"/>
      <c r="FT12" s="930"/>
      <c r="FU12" s="930"/>
      <c r="FV12" s="930"/>
      <c r="FW12" s="930"/>
      <c r="FX12" s="930"/>
      <c r="FY12" s="930"/>
      <c r="FZ12" s="930"/>
      <c r="GA12" s="930"/>
      <c r="GB12" s="930"/>
      <c r="GC12" s="930"/>
      <c r="GD12" s="930"/>
      <c r="GE12" s="930"/>
      <c r="GF12" s="930"/>
      <c r="GG12" s="930"/>
      <c r="GH12" s="930"/>
      <c r="GI12" s="930"/>
      <c r="GJ12" s="930"/>
      <c r="GK12" s="930"/>
      <c r="GL12" s="930"/>
      <c r="GM12" s="930"/>
      <c r="GN12" s="930"/>
      <c r="GO12" s="930"/>
      <c r="GP12" s="930"/>
      <c r="GQ12" s="930"/>
      <c r="GR12" s="930"/>
      <c r="GS12" s="930"/>
      <c r="GT12" s="930"/>
      <c r="GU12" s="930"/>
      <c r="GV12" s="930"/>
      <c r="GW12" s="930"/>
      <c r="GX12" s="930"/>
      <c r="GY12" s="930"/>
      <c r="GZ12" s="930"/>
      <c r="HA12" s="930"/>
      <c r="HB12" s="930"/>
      <c r="HC12" s="930"/>
      <c r="HD12" s="930"/>
      <c r="HE12" s="930"/>
      <c r="HF12" s="930"/>
      <c r="HG12" s="930"/>
      <c r="HH12" s="930"/>
      <c r="HI12" s="930"/>
      <c r="HJ12" s="930"/>
      <c r="HK12" s="930"/>
      <c r="HL12" s="930"/>
      <c r="HM12" s="930"/>
      <c r="HN12" s="930"/>
      <c r="HO12" s="930"/>
      <c r="HP12" s="930"/>
      <c r="HQ12" s="930"/>
      <c r="HR12" s="930"/>
      <c r="HS12" s="930"/>
      <c r="HT12" s="930"/>
      <c r="HU12" s="930"/>
      <c r="HV12" s="930"/>
      <c r="HW12" s="930"/>
      <c r="HX12" s="930"/>
      <c r="HY12" s="930"/>
      <c r="HZ12" s="930"/>
      <c r="IA12" s="930"/>
      <c r="IB12" s="930"/>
      <c r="IC12" s="930"/>
      <c r="ID12" s="930"/>
      <c r="IE12" s="930"/>
      <c r="IF12" s="930"/>
      <c r="IG12" s="930"/>
      <c r="IH12" s="930"/>
      <c r="II12" s="930"/>
      <c r="IJ12" s="930"/>
      <c r="IK12" s="930"/>
      <c r="IL12" s="930"/>
      <c r="IM12" s="930"/>
      <c r="IN12" s="930"/>
      <c r="IO12" s="930"/>
      <c r="IP12" s="930"/>
      <c r="IQ12" s="930"/>
      <c r="IR12" s="930"/>
      <c r="IS12" s="930"/>
      <c r="IT12" s="930"/>
      <c r="IU12" s="930"/>
      <c r="IV12" s="930"/>
    </row>
    <row r="13" spans="1:256">
      <c r="A13" s="935">
        <f>+A12+1</f>
        <v>3</v>
      </c>
      <c r="B13" s="936" t="s">
        <v>561</v>
      </c>
      <c r="C13" s="936"/>
      <c r="D13" s="936"/>
      <c r="E13" s="936" t="str">
        <f>"Line "&amp;A11&amp;" less Line "&amp;A12</f>
        <v>Line 1 less Line 2</v>
      </c>
      <c r="F13" s="932"/>
      <c r="G13" s="930"/>
      <c r="H13" s="937">
        <f>+H11-H12</f>
        <v>-34717825</v>
      </c>
      <c r="I13" s="932"/>
      <c r="J13" s="930"/>
      <c r="K13" s="930"/>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30"/>
      <c r="AK13" s="930"/>
      <c r="AL13" s="930"/>
      <c r="AM13" s="930"/>
      <c r="AN13" s="930"/>
      <c r="AO13" s="930"/>
      <c r="AP13" s="930"/>
      <c r="AQ13" s="930"/>
      <c r="AR13" s="930"/>
      <c r="AS13" s="930"/>
      <c r="AT13" s="930"/>
      <c r="AU13" s="930"/>
      <c r="AV13" s="930"/>
      <c r="AW13" s="930"/>
      <c r="AX13" s="930"/>
      <c r="AY13" s="930"/>
      <c r="AZ13" s="930"/>
      <c r="BA13" s="930"/>
      <c r="BB13" s="930"/>
      <c r="BC13" s="930"/>
      <c r="BD13" s="930"/>
      <c r="BE13" s="930"/>
      <c r="BF13" s="930"/>
      <c r="BG13" s="930"/>
      <c r="BH13" s="930"/>
      <c r="BI13" s="930"/>
      <c r="BJ13" s="930"/>
      <c r="BK13" s="930"/>
      <c r="BL13" s="930"/>
      <c r="BM13" s="930"/>
      <c r="BN13" s="930"/>
      <c r="BO13" s="930"/>
      <c r="BP13" s="930"/>
      <c r="BQ13" s="930"/>
      <c r="BR13" s="930"/>
      <c r="BS13" s="930"/>
      <c r="BT13" s="930"/>
      <c r="BU13" s="930"/>
      <c r="BV13" s="930"/>
      <c r="BW13" s="930"/>
      <c r="BX13" s="930"/>
      <c r="BY13" s="930"/>
      <c r="BZ13" s="930"/>
      <c r="CA13" s="930"/>
      <c r="CB13" s="930"/>
      <c r="CC13" s="930"/>
      <c r="CD13" s="930"/>
      <c r="CE13" s="930"/>
      <c r="CF13" s="930"/>
      <c r="CG13" s="930"/>
      <c r="CH13" s="930"/>
      <c r="CI13" s="930"/>
      <c r="CJ13" s="930"/>
      <c r="CK13" s="930"/>
      <c r="CL13" s="930"/>
      <c r="CM13" s="930"/>
      <c r="CN13" s="930"/>
      <c r="CO13" s="930"/>
      <c r="CP13" s="930"/>
      <c r="CQ13" s="930"/>
      <c r="CR13" s="930"/>
      <c r="CS13" s="930"/>
      <c r="CT13" s="930"/>
      <c r="CU13" s="930"/>
      <c r="CV13" s="930"/>
      <c r="CW13" s="930"/>
      <c r="CX13" s="930"/>
      <c r="CY13" s="930"/>
      <c r="CZ13" s="930"/>
      <c r="DA13" s="930"/>
      <c r="DB13" s="930"/>
      <c r="DC13" s="930"/>
      <c r="DD13" s="930"/>
      <c r="DE13" s="930"/>
      <c r="DF13" s="930"/>
      <c r="DG13" s="930"/>
      <c r="DH13" s="930"/>
      <c r="DI13" s="930"/>
      <c r="DJ13" s="930"/>
      <c r="DK13" s="930"/>
      <c r="DL13" s="930"/>
      <c r="DM13" s="930"/>
      <c r="DN13" s="930"/>
      <c r="DO13" s="930"/>
      <c r="DP13" s="930"/>
      <c r="DQ13" s="930"/>
      <c r="DR13" s="930"/>
      <c r="DS13" s="930"/>
      <c r="DT13" s="930"/>
      <c r="DU13" s="930"/>
      <c r="DV13" s="930"/>
      <c r="DW13" s="930"/>
      <c r="DX13" s="930"/>
      <c r="DY13" s="930"/>
      <c r="DZ13" s="930"/>
      <c r="EA13" s="930"/>
      <c r="EB13" s="930"/>
      <c r="EC13" s="930"/>
      <c r="ED13" s="930"/>
      <c r="EE13" s="930"/>
      <c r="EF13" s="930"/>
      <c r="EG13" s="930"/>
      <c r="EH13" s="930"/>
      <c r="EI13" s="930"/>
      <c r="EJ13" s="930"/>
      <c r="EK13" s="930"/>
      <c r="EL13" s="930"/>
      <c r="EM13" s="930"/>
      <c r="EN13" s="930"/>
      <c r="EO13" s="930"/>
      <c r="EP13" s="930"/>
      <c r="EQ13" s="930"/>
      <c r="ER13" s="930"/>
      <c r="ES13" s="930"/>
      <c r="ET13" s="930"/>
      <c r="EU13" s="930"/>
      <c r="EV13" s="930"/>
      <c r="EW13" s="930"/>
      <c r="EX13" s="930"/>
      <c r="EY13" s="930"/>
      <c r="EZ13" s="930"/>
      <c r="FA13" s="930"/>
      <c r="FB13" s="930"/>
      <c r="FC13" s="930"/>
      <c r="FD13" s="930"/>
      <c r="FE13" s="930"/>
      <c r="FF13" s="930"/>
      <c r="FG13" s="930"/>
      <c r="FH13" s="930"/>
      <c r="FI13" s="930"/>
      <c r="FJ13" s="930"/>
      <c r="FK13" s="930"/>
      <c r="FL13" s="930"/>
      <c r="FM13" s="930"/>
      <c r="FN13" s="930"/>
      <c r="FO13" s="930"/>
      <c r="FP13" s="930"/>
      <c r="FQ13" s="930"/>
      <c r="FR13" s="930"/>
      <c r="FS13" s="930"/>
      <c r="FT13" s="930"/>
      <c r="FU13" s="930"/>
      <c r="FV13" s="930"/>
      <c r="FW13" s="930"/>
      <c r="FX13" s="930"/>
      <c r="FY13" s="930"/>
      <c r="FZ13" s="930"/>
      <c r="GA13" s="930"/>
      <c r="GB13" s="930"/>
      <c r="GC13" s="930"/>
      <c r="GD13" s="930"/>
      <c r="GE13" s="930"/>
      <c r="GF13" s="930"/>
      <c r="GG13" s="930"/>
      <c r="GH13" s="930"/>
      <c r="GI13" s="930"/>
      <c r="GJ13" s="930"/>
      <c r="GK13" s="930"/>
      <c r="GL13" s="930"/>
      <c r="GM13" s="930"/>
      <c r="GN13" s="930"/>
      <c r="GO13" s="930"/>
      <c r="GP13" s="930"/>
      <c r="GQ13" s="930"/>
      <c r="GR13" s="930"/>
      <c r="GS13" s="930"/>
      <c r="GT13" s="930"/>
      <c r="GU13" s="930"/>
      <c r="GV13" s="930"/>
      <c r="GW13" s="930"/>
      <c r="GX13" s="930"/>
      <c r="GY13" s="930"/>
      <c r="GZ13" s="930"/>
      <c r="HA13" s="930"/>
      <c r="HB13" s="930"/>
      <c r="HC13" s="930"/>
      <c r="HD13" s="930"/>
      <c r="HE13" s="930"/>
      <c r="HF13" s="930"/>
      <c r="HG13" s="930"/>
      <c r="HH13" s="930"/>
      <c r="HI13" s="930"/>
      <c r="HJ13" s="930"/>
      <c r="HK13" s="930"/>
      <c r="HL13" s="930"/>
      <c r="HM13" s="930"/>
      <c r="HN13" s="930"/>
      <c r="HO13" s="930"/>
      <c r="HP13" s="930"/>
      <c r="HQ13" s="930"/>
      <c r="HR13" s="930"/>
      <c r="HS13" s="930"/>
      <c r="HT13" s="930"/>
      <c r="HU13" s="930"/>
      <c r="HV13" s="930"/>
      <c r="HW13" s="930"/>
      <c r="HX13" s="930"/>
      <c r="HY13" s="930"/>
      <c r="HZ13" s="930"/>
      <c r="IA13" s="930"/>
      <c r="IB13" s="930"/>
      <c r="IC13" s="930"/>
      <c r="ID13" s="930"/>
      <c r="IE13" s="930"/>
      <c r="IF13" s="930"/>
      <c r="IG13" s="930"/>
      <c r="IH13" s="930"/>
      <c r="II13" s="930"/>
      <c r="IJ13" s="930"/>
      <c r="IK13" s="930"/>
      <c r="IL13" s="930"/>
      <c r="IM13" s="930"/>
      <c r="IN13" s="930"/>
      <c r="IO13" s="930"/>
      <c r="IP13" s="930"/>
      <c r="IQ13" s="930"/>
      <c r="IR13" s="930"/>
      <c r="IS13" s="930"/>
      <c r="IT13" s="930"/>
      <c r="IU13" s="930"/>
      <c r="IV13" s="930"/>
    </row>
    <row r="14" spans="1:256">
      <c r="A14" s="935">
        <f>+A13+1</f>
        <v>4</v>
      </c>
      <c r="B14" s="936" t="s">
        <v>562</v>
      </c>
      <c r="C14" s="936"/>
      <c r="D14" s="936"/>
      <c r="E14" s="936" t="str">
        <f>"Line "&amp;A13&amp;" / 12"</f>
        <v>Line 3 / 12</v>
      </c>
      <c r="F14" s="932"/>
      <c r="G14" s="930"/>
      <c r="H14" s="938">
        <f>+H13/12</f>
        <v>-2893152.0833333335</v>
      </c>
      <c r="I14" s="932"/>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0"/>
      <c r="AY14" s="930"/>
      <c r="AZ14" s="930"/>
      <c r="BA14" s="930"/>
      <c r="BB14" s="930"/>
      <c r="BC14" s="930"/>
      <c r="BD14" s="930"/>
      <c r="BE14" s="930"/>
      <c r="BF14" s="930"/>
      <c r="BG14" s="930"/>
      <c r="BH14" s="930"/>
      <c r="BI14" s="930"/>
      <c r="BJ14" s="930"/>
      <c r="BK14" s="930"/>
      <c r="BL14" s="930"/>
      <c r="BM14" s="930"/>
      <c r="BN14" s="930"/>
      <c r="BO14" s="930"/>
      <c r="BP14" s="930"/>
      <c r="BQ14" s="930"/>
      <c r="BR14" s="930"/>
      <c r="BS14" s="930"/>
      <c r="BT14" s="930"/>
      <c r="BU14" s="930"/>
      <c r="BV14" s="930"/>
      <c r="BW14" s="930"/>
      <c r="BX14" s="930"/>
      <c r="BY14" s="930"/>
      <c r="BZ14" s="930"/>
      <c r="CA14" s="930"/>
      <c r="CB14" s="930"/>
      <c r="CC14" s="930"/>
      <c r="CD14" s="930"/>
      <c r="CE14" s="930"/>
      <c r="CF14" s="930"/>
      <c r="CG14" s="930"/>
      <c r="CH14" s="930"/>
      <c r="CI14" s="930"/>
      <c r="CJ14" s="930"/>
      <c r="CK14" s="930"/>
      <c r="CL14" s="930"/>
      <c r="CM14" s="930"/>
      <c r="CN14" s="930"/>
      <c r="CO14" s="930"/>
      <c r="CP14" s="930"/>
      <c r="CQ14" s="930"/>
      <c r="CR14" s="930"/>
      <c r="CS14" s="930"/>
      <c r="CT14" s="930"/>
      <c r="CU14" s="930"/>
      <c r="CV14" s="930"/>
      <c r="CW14" s="930"/>
      <c r="CX14" s="930"/>
      <c r="CY14" s="930"/>
      <c r="CZ14" s="930"/>
      <c r="DA14" s="930"/>
      <c r="DB14" s="930"/>
      <c r="DC14" s="930"/>
      <c r="DD14" s="930"/>
      <c r="DE14" s="930"/>
      <c r="DF14" s="930"/>
      <c r="DG14" s="930"/>
      <c r="DH14" s="930"/>
      <c r="DI14" s="930"/>
      <c r="DJ14" s="930"/>
      <c r="DK14" s="930"/>
      <c r="DL14" s="930"/>
      <c r="DM14" s="930"/>
      <c r="DN14" s="930"/>
      <c r="DO14" s="930"/>
      <c r="DP14" s="930"/>
      <c r="DQ14" s="930"/>
      <c r="DR14" s="930"/>
      <c r="DS14" s="930"/>
      <c r="DT14" s="930"/>
      <c r="DU14" s="930"/>
      <c r="DV14" s="930"/>
      <c r="DW14" s="930"/>
      <c r="DX14" s="930"/>
      <c r="DY14" s="930"/>
      <c r="DZ14" s="930"/>
      <c r="EA14" s="930"/>
      <c r="EB14" s="930"/>
      <c r="EC14" s="930"/>
      <c r="ED14" s="930"/>
      <c r="EE14" s="930"/>
      <c r="EF14" s="930"/>
      <c r="EG14" s="930"/>
      <c r="EH14" s="930"/>
      <c r="EI14" s="930"/>
      <c r="EJ14" s="930"/>
      <c r="EK14" s="930"/>
      <c r="EL14" s="930"/>
      <c r="EM14" s="930"/>
      <c r="EN14" s="930"/>
      <c r="EO14" s="930"/>
      <c r="EP14" s="930"/>
      <c r="EQ14" s="930"/>
      <c r="ER14" s="930"/>
      <c r="ES14" s="930"/>
      <c r="ET14" s="930"/>
      <c r="EU14" s="930"/>
      <c r="EV14" s="930"/>
      <c r="EW14" s="930"/>
      <c r="EX14" s="930"/>
      <c r="EY14" s="930"/>
      <c r="EZ14" s="930"/>
      <c r="FA14" s="930"/>
      <c r="FB14" s="930"/>
      <c r="FC14" s="930"/>
      <c r="FD14" s="930"/>
      <c r="FE14" s="930"/>
      <c r="FF14" s="930"/>
      <c r="FG14" s="930"/>
      <c r="FH14" s="930"/>
      <c r="FI14" s="930"/>
      <c r="FJ14" s="930"/>
      <c r="FK14" s="930"/>
      <c r="FL14" s="930"/>
      <c r="FM14" s="930"/>
      <c r="FN14" s="930"/>
      <c r="FO14" s="930"/>
      <c r="FP14" s="930"/>
      <c r="FQ14" s="930"/>
      <c r="FR14" s="930"/>
      <c r="FS14" s="930"/>
      <c r="FT14" s="930"/>
      <c r="FU14" s="930"/>
      <c r="FV14" s="930"/>
      <c r="FW14" s="930"/>
      <c r="FX14" s="930"/>
      <c r="FY14" s="930"/>
      <c r="FZ14" s="930"/>
      <c r="GA14" s="930"/>
      <c r="GB14" s="930"/>
      <c r="GC14" s="930"/>
      <c r="GD14" s="930"/>
      <c r="GE14" s="930"/>
      <c r="GF14" s="930"/>
      <c r="GG14" s="930"/>
      <c r="GH14" s="930"/>
      <c r="GI14" s="930"/>
      <c r="GJ14" s="930"/>
      <c r="GK14" s="930"/>
      <c r="GL14" s="930"/>
      <c r="GM14" s="930"/>
      <c r="GN14" s="930"/>
      <c r="GO14" s="930"/>
      <c r="GP14" s="930"/>
      <c r="GQ14" s="930"/>
      <c r="GR14" s="930"/>
      <c r="GS14" s="930"/>
      <c r="GT14" s="930"/>
      <c r="GU14" s="930"/>
      <c r="GV14" s="930"/>
      <c r="GW14" s="930"/>
      <c r="GX14" s="930"/>
      <c r="GY14" s="930"/>
      <c r="GZ14" s="930"/>
      <c r="HA14" s="930"/>
      <c r="HB14" s="930"/>
      <c r="HC14" s="930"/>
      <c r="HD14" s="930"/>
      <c r="HE14" s="930"/>
      <c r="HF14" s="930"/>
      <c r="HG14" s="930"/>
      <c r="HH14" s="930"/>
      <c r="HI14" s="930"/>
      <c r="HJ14" s="930"/>
      <c r="HK14" s="930"/>
      <c r="HL14" s="930"/>
      <c r="HM14" s="930"/>
      <c r="HN14" s="930"/>
      <c r="HO14" s="930"/>
      <c r="HP14" s="930"/>
      <c r="HQ14" s="930"/>
      <c r="HR14" s="930"/>
      <c r="HS14" s="930"/>
      <c r="HT14" s="930"/>
      <c r="HU14" s="930"/>
      <c r="HV14" s="930"/>
      <c r="HW14" s="930"/>
      <c r="HX14" s="930"/>
      <c r="HY14" s="930"/>
      <c r="HZ14" s="930"/>
      <c r="IA14" s="930"/>
      <c r="IB14" s="930"/>
      <c r="IC14" s="930"/>
      <c r="ID14" s="930"/>
      <c r="IE14" s="930"/>
      <c r="IF14" s="930"/>
      <c r="IG14" s="930"/>
      <c r="IH14" s="930"/>
      <c r="II14" s="930"/>
      <c r="IJ14" s="930"/>
      <c r="IK14" s="930"/>
      <c r="IL14" s="930"/>
      <c r="IM14" s="930"/>
      <c r="IN14" s="930"/>
      <c r="IO14" s="930"/>
      <c r="IP14" s="930"/>
      <c r="IQ14" s="930"/>
      <c r="IR14" s="930"/>
      <c r="IS14" s="930"/>
      <c r="IT14" s="930"/>
      <c r="IU14" s="930"/>
      <c r="IV14" s="930"/>
    </row>
    <row r="15" spans="1:256">
      <c r="A15" s="936"/>
      <c r="B15" s="936"/>
      <c r="C15" s="936"/>
      <c r="D15" s="936"/>
      <c r="E15" s="932"/>
      <c r="F15" s="932"/>
      <c r="G15" s="932"/>
      <c r="H15" s="932"/>
      <c r="I15" s="932"/>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0"/>
      <c r="AY15" s="930"/>
      <c r="AZ15" s="930"/>
      <c r="BA15" s="930"/>
      <c r="BB15" s="930"/>
      <c r="BC15" s="930"/>
      <c r="BD15" s="930"/>
      <c r="BE15" s="930"/>
      <c r="BF15" s="930"/>
      <c r="BG15" s="930"/>
      <c r="BH15" s="930"/>
      <c r="BI15" s="930"/>
      <c r="BJ15" s="930"/>
      <c r="BK15" s="930"/>
      <c r="BL15" s="930"/>
      <c r="BM15" s="930"/>
      <c r="BN15" s="930"/>
      <c r="BO15" s="930"/>
      <c r="BP15" s="930"/>
      <c r="BQ15" s="930"/>
      <c r="BR15" s="930"/>
      <c r="BS15" s="930"/>
      <c r="BT15" s="930"/>
      <c r="BU15" s="930"/>
      <c r="BV15" s="930"/>
      <c r="BW15" s="930"/>
      <c r="BX15" s="930"/>
      <c r="BY15" s="930"/>
      <c r="BZ15" s="930"/>
      <c r="CA15" s="930"/>
      <c r="CB15" s="930"/>
      <c r="CC15" s="930"/>
      <c r="CD15" s="930"/>
      <c r="CE15" s="930"/>
      <c r="CF15" s="930"/>
      <c r="CG15" s="930"/>
      <c r="CH15" s="930"/>
      <c r="CI15" s="930"/>
      <c r="CJ15" s="930"/>
      <c r="CK15" s="930"/>
      <c r="CL15" s="930"/>
      <c r="CM15" s="930"/>
      <c r="CN15" s="930"/>
      <c r="CO15" s="930"/>
      <c r="CP15" s="930"/>
      <c r="CQ15" s="930"/>
      <c r="CR15" s="930"/>
      <c r="CS15" s="930"/>
      <c r="CT15" s="930"/>
      <c r="CU15" s="930"/>
      <c r="CV15" s="930"/>
      <c r="CW15" s="930"/>
      <c r="CX15" s="930"/>
      <c r="CY15" s="930"/>
      <c r="CZ15" s="930"/>
      <c r="DA15" s="930"/>
      <c r="DB15" s="930"/>
      <c r="DC15" s="930"/>
      <c r="DD15" s="930"/>
      <c r="DE15" s="930"/>
      <c r="DF15" s="930"/>
      <c r="DG15" s="930"/>
      <c r="DH15" s="930"/>
      <c r="DI15" s="930"/>
      <c r="DJ15" s="930"/>
      <c r="DK15" s="930"/>
      <c r="DL15" s="930"/>
      <c r="DM15" s="930"/>
      <c r="DN15" s="930"/>
      <c r="DO15" s="930"/>
      <c r="DP15" s="930"/>
      <c r="DQ15" s="930"/>
      <c r="DR15" s="930"/>
      <c r="DS15" s="930"/>
      <c r="DT15" s="930"/>
      <c r="DU15" s="930"/>
      <c r="DV15" s="930"/>
      <c r="DW15" s="930"/>
      <c r="DX15" s="930"/>
      <c r="DY15" s="930"/>
      <c r="DZ15" s="930"/>
      <c r="EA15" s="930"/>
      <c r="EB15" s="930"/>
      <c r="EC15" s="930"/>
      <c r="ED15" s="930"/>
      <c r="EE15" s="930"/>
      <c r="EF15" s="930"/>
      <c r="EG15" s="930"/>
      <c r="EH15" s="930"/>
      <c r="EI15" s="930"/>
      <c r="EJ15" s="930"/>
      <c r="EK15" s="930"/>
      <c r="EL15" s="930"/>
      <c r="EM15" s="930"/>
      <c r="EN15" s="930"/>
      <c r="EO15" s="930"/>
      <c r="EP15" s="930"/>
      <c r="EQ15" s="930"/>
      <c r="ER15" s="930"/>
      <c r="ES15" s="930"/>
      <c r="ET15" s="930"/>
      <c r="EU15" s="930"/>
      <c r="EV15" s="930"/>
      <c r="EW15" s="930"/>
      <c r="EX15" s="930"/>
      <c r="EY15" s="930"/>
      <c r="EZ15" s="930"/>
      <c r="FA15" s="930"/>
      <c r="FB15" s="930"/>
      <c r="FC15" s="930"/>
      <c r="FD15" s="930"/>
      <c r="FE15" s="930"/>
      <c r="FF15" s="930"/>
      <c r="FG15" s="930"/>
      <c r="FH15" s="930"/>
      <c r="FI15" s="930"/>
      <c r="FJ15" s="930"/>
      <c r="FK15" s="930"/>
      <c r="FL15" s="930"/>
      <c r="FM15" s="930"/>
      <c r="FN15" s="930"/>
      <c r="FO15" s="930"/>
      <c r="FP15" s="930"/>
      <c r="FQ15" s="930"/>
      <c r="FR15" s="930"/>
      <c r="FS15" s="930"/>
      <c r="FT15" s="930"/>
      <c r="FU15" s="930"/>
      <c r="FV15" s="930"/>
      <c r="FW15" s="930"/>
      <c r="FX15" s="930"/>
      <c r="FY15" s="930"/>
      <c r="FZ15" s="930"/>
      <c r="GA15" s="930"/>
      <c r="GB15" s="930"/>
      <c r="GC15" s="930"/>
      <c r="GD15" s="930"/>
      <c r="GE15" s="930"/>
      <c r="GF15" s="930"/>
      <c r="GG15" s="930"/>
      <c r="GH15" s="930"/>
      <c r="GI15" s="930"/>
      <c r="GJ15" s="930"/>
      <c r="GK15" s="930"/>
      <c r="GL15" s="930"/>
      <c r="GM15" s="930"/>
      <c r="GN15" s="930"/>
      <c r="GO15" s="930"/>
      <c r="GP15" s="930"/>
      <c r="GQ15" s="930"/>
      <c r="GR15" s="930"/>
      <c r="GS15" s="930"/>
      <c r="GT15" s="930"/>
      <c r="GU15" s="930"/>
      <c r="GV15" s="930"/>
      <c r="GW15" s="930"/>
      <c r="GX15" s="930"/>
      <c r="GY15" s="930"/>
      <c r="GZ15" s="930"/>
      <c r="HA15" s="930"/>
      <c r="HB15" s="930"/>
      <c r="HC15" s="930"/>
      <c r="HD15" s="930"/>
      <c r="HE15" s="930"/>
      <c r="HF15" s="930"/>
      <c r="HG15" s="930"/>
      <c r="HH15" s="930"/>
      <c r="HI15" s="930"/>
      <c r="HJ15" s="930"/>
      <c r="HK15" s="930"/>
      <c r="HL15" s="930"/>
      <c r="HM15" s="930"/>
      <c r="HN15" s="930"/>
      <c r="HO15" s="930"/>
      <c r="HP15" s="930"/>
      <c r="HQ15" s="930"/>
      <c r="HR15" s="930"/>
      <c r="HS15" s="930"/>
      <c r="HT15" s="930"/>
      <c r="HU15" s="930"/>
      <c r="HV15" s="930"/>
      <c r="HW15" s="930"/>
      <c r="HX15" s="930"/>
      <c r="HY15" s="930"/>
      <c r="HZ15" s="930"/>
      <c r="IA15" s="930"/>
      <c r="IB15" s="930"/>
      <c r="IC15" s="930"/>
      <c r="ID15" s="930"/>
      <c r="IE15" s="930"/>
      <c r="IF15" s="930"/>
      <c r="IG15" s="930"/>
      <c r="IH15" s="930"/>
      <c r="II15" s="930"/>
      <c r="IJ15" s="930"/>
      <c r="IK15" s="930"/>
      <c r="IL15" s="930"/>
      <c r="IM15" s="930"/>
      <c r="IN15" s="930"/>
      <c r="IO15" s="930"/>
      <c r="IP15" s="930"/>
      <c r="IQ15" s="930"/>
      <c r="IR15" s="930"/>
      <c r="IS15" s="930"/>
      <c r="IT15" s="930"/>
      <c r="IU15" s="930"/>
      <c r="IV15" s="930"/>
    </row>
    <row r="16" spans="1:256" ht="15.75">
      <c r="A16" s="930"/>
      <c r="B16" s="939" t="s">
        <v>338</v>
      </c>
      <c r="C16" s="939" t="s">
        <v>339</v>
      </c>
      <c r="D16" s="939" t="s">
        <v>60</v>
      </c>
      <c r="E16" s="939" t="s">
        <v>341</v>
      </c>
      <c r="F16" s="939" t="s">
        <v>266</v>
      </c>
      <c r="G16" s="939" t="s">
        <v>267</v>
      </c>
      <c r="H16" s="939" t="s">
        <v>268</v>
      </c>
      <c r="I16" s="939" t="s">
        <v>273</v>
      </c>
      <c r="J16" s="930"/>
      <c r="K16" s="930"/>
      <c r="L16" s="930"/>
      <c r="M16" s="930"/>
      <c r="N16" s="930"/>
      <c r="O16" s="930"/>
      <c r="P16" s="930"/>
      <c r="Q16" s="930"/>
      <c r="R16" s="930"/>
      <c r="S16" s="930"/>
      <c r="T16" s="930"/>
      <c r="U16" s="930"/>
      <c r="V16" s="930"/>
      <c r="W16" s="930"/>
      <c r="X16" s="930"/>
      <c r="Y16" s="930"/>
      <c r="Z16" s="930"/>
      <c r="AA16" s="930"/>
      <c r="AB16" s="930"/>
      <c r="AC16" s="930"/>
      <c r="AD16" s="930"/>
      <c r="AE16" s="930"/>
      <c r="AF16" s="930"/>
      <c r="AG16" s="930"/>
      <c r="AH16" s="930"/>
      <c r="AI16" s="930"/>
      <c r="AJ16" s="930"/>
      <c r="AK16" s="930"/>
      <c r="AL16" s="930"/>
      <c r="AM16" s="930"/>
      <c r="AN16" s="930"/>
      <c r="AO16" s="930"/>
      <c r="AP16" s="930"/>
      <c r="AQ16" s="930"/>
      <c r="AR16" s="930"/>
      <c r="AS16" s="930"/>
      <c r="AT16" s="930"/>
      <c r="AU16" s="930"/>
      <c r="AV16" s="930"/>
      <c r="AW16" s="930"/>
      <c r="AX16" s="930"/>
      <c r="AY16" s="930"/>
      <c r="AZ16" s="930"/>
      <c r="BA16" s="930"/>
      <c r="BB16" s="930"/>
      <c r="BC16" s="930"/>
      <c r="BD16" s="930"/>
      <c r="BE16" s="930"/>
      <c r="BF16" s="930"/>
      <c r="BG16" s="930"/>
      <c r="BH16" s="930"/>
      <c r="BI16" s="930"/>
      <c r="BJ16" s="930"/>
      <c r="BK16" s="930"/>
      <c r="BL16" s="930"/>
      <c r="BM16" s="930"/>
      <c r="BN16" s="930"/>
      <c r="BO16" s="930"/>
      <c r="BP16" s="930"/>
      <c r="BQ16" s="930"/>
      <c r="BR16" s="930"/>
      <c r="BS16" s="930"/>
      <c r="BT16" s="930"/>
      <c r="BU16" s="930"/>
      <c r="BV16" s="930"/>
      <c r="BW16" s="930"/>
      <c r="BX16" s="930"/>
      <c r="BY16" s="930"/>
      <c r="BZ16" s="930"/>
      <c r="CA16" s="930"/>
      <c r="CB16" s="930"/>
      <c r="CC16" s="930"/>
      <c r="CD16" s="930"/>
      <c r="CE16" s="930"/>
      <c r="CF16" s="930"/>
      <c r="CG16" s="930"/>
      <c r="CH16" s="930"/>
      <c r="CI16" s="930"/>
      <c r="CJ16" s="930"/>
      <c r="CK16" s="930"/>
      <c r="CL16" s="930"/>
      <c r="CM16" s="930"/>
      <c r="CN16" s="930"/>
      <c r="CO16" s="930"/>
      <c r="CP16" s="930"/>
      <c r="CQ16" s="930"/>
      <c r="CR16" s="930"/>
      <c r="CS16" s="930"/>
      <c r="CT16" s="930"/>
      <c r="CU16" s="930"/>
      <c r="CV16" s="930"/>
      <c r="CW16" s="930"/>
      <c r="CX16" s="930"/>
      <c r="CY16" s="930"/>
      <c r="CZ16" s="930"/>
      <c r="DA16" s="930"/>
      <c r="DB16" s="930"/>
      <c r="DC16" s="930"/>
      <c r="DD16" s="930"/>
      <c r="DE16" s="930"/>
      <c r="DF16" s="930"/>
      <c r="DG16" s="930"/>
      <c r="DH16" s="930"/>
      <c r="DI16" s="930"/>
      <c r="DJ16" s="930"/>
      <c r="DK16" s="930"/>
      <c r="DL16" s="930"/>
      <c r="DM16" s="930"/>
      <c r="DN16" s="930"/>
      <c r="DO16" s="930"/>
      <c r="DP16" s="930"/>
      <c r="DQ16" s="930"/>
      <c r="DR16" s="930"/>
      <c r="DS16" s="930"/>
      <c r="DT16" s="930"/>
      <c r="DU16" s="930"/>
      <c r="DV16" s="930"/>
      <c r="DW16" s="930"/>
      <c r="DX16" s="930"/>
      <c r="DY16" s="930"/>
      <c r="DZ16" s="930"/>
      <c r="EA16" s="930"/>
      <c r="EB16" s="930"/>
      <c r="EC16" s="930"/>
      <c r="ED16" s="930"/>
      <c r="EE16" s="930"/>
      <c r="EF16" s="930"/>
      <c r="EG16" s="930"/>
      <c r="EH16" s="930"/>
      <c r="EI16" s="930"/>
      <c r="EJ16" s="930"/>
      <c r="EK16" s="930"/>
      <c r="EL16" s="930"/>
      <c r="EM16" s="930"/>
      <c r="EN16" s="930"/>
      <c r="EO16" s="930"/>
      <c r="EP16" s="930"/>
      <c r="EQ16" s="930"/>
      <c r="ER16" s="930"/>
      <c r="ES16" s="930"/>
      <c r="ET16" s="930"/>
      <c r="EU16" s="930"/>
      <c r="EV16" s="930"/>
      <c r="EW16" s="930"/>
      <c r="EX16" s="930"/>
      <c r="EY16" s="930"/>
      <c r="EZ16" s="930"/>
      <c r="FA16" s="930"/>
      <c r="FB16" s="930"/>
      <c r="FC16" s="930"/>
      <c r="FD16" s="930"/>
      <c r="FE16" s="930"/>
      <c r="FF16" s="930"/>
      <c r="FG16" s="930"/>
      <c r="FH16" s="930"/>
      <c r="FI16" s="930"/>
      <c r="FJ16" s="930"/>
      <c r="FK16" s="930"/>
      <c r="FL16" s="930"/>
      <c r="FM16" s="930"/>
      <c r="FN16" s="930"/>
      <c r="FO16" s="930"/>
      <c r="FP16" s="930"/>
      <c r="FQ16" s="930"/>
      <c r="FR16" s="930"/>
      <c r="FS16" s="930"/>
      <c r="FT16" s="930"/>
      <c r="FU16" s="930"/>
      <c r="FV16" s="930"/>
      <c r="FW16" s="930"/>
      <c r="FX16" s="930"/>
      <c r="FY16" s="930"/>
      <c r="FZ16" s="930"/>
      <c r="GA16" s="930"/>
      <c r="GB16" s="930"/>
      <c r="GC16" s="930"/>
      <c r="GD16" s="930"/>
      <c r="GE16" s="930"/>
      <c r="GF16" s="930"/>
      <c r="GG16" s="930"/>
      <c r="GH16" s="930"/>
      <c r="GI16" s="930"/>
      <c r="GJ16" s="930"/>
      <c r="GK16" s="930"/>
      <c r="GL16" s="930"/>
      <c r="GM16" s="930"/>
      <c r="GN16" s="930"/>
      <c r="GO16" s="930"/>
      <c r="GP16" s="930"/>
      <c r="GQ16" s="930"/>
      <c r="GR16" s="930"/>
      <c r="GS16" s="930"/>
      <c r="GT16" s="930"/>
      <c r="GU16" s="930"/>
      <c r="GV16" s="930"/>
      <c r="GW16" s="930"/>
      <c r="GX16" s="930"/>
      <c r="GY16" s="930"/>
      <c r="GZ16" s="930"/>
      <c r="HA16" s="930"/>
      <c r="HB16" s="930"/>
      <c r="HC16" s="930"/>
      <c r="HD16" s="930"/>
      <c r="HE16" s="930"/>
      <c r="HF16" s="930"/>
      <c r="HG16" s="930"/>
      <c r="HH16" s="930"/>
      <c r="HI16" s="930"/>
      <c r="HJ16" s="930"/>
      <c r="HK16" s="930"/>
      <c r="HL16" s="930"/>
      <c r="HM16" s="930"/>
      <c r="HN16" s="930"/>
      <c r="HO16" s="930"/>
      <c r="HP16" s="930"/>
      <c r="HQ16" s="930"/>
      <c r="HR16" s="930"/>
      <c r="HS16" s="930"/>
      <c r="HT16" s="930"/>
      <c r="HU16" s="930"/>
      <c r="HV16" s="930"/>
      <c r="HW16" s="930"/>
      <c r="HX16" s="930"/>
      <c r="HY16" s="930"/>
      <c r="HZ16" s="930"/>
      <c r="IA16" s="930"/>
      <c r="IB16" s="930"/>
      <c r="IC16" s="930"/>
      <c r="ID16" s="930"/>
      <c r="IE16" s="930"/>
      <c r="IF16" s="930"/>
      <c r="IG16" s="930"/>
      <c r="IH16" s="930"/>
      <c r="II16" s="930"/>
      <c r="IJ16" s="930"/>
      <c r="IK16" s="930"/>
      <c r="IL16" s="930"/>
      <c r="IM16" s="930"/>
      <c r="IN16" s="930"/>
      <c r="IO16" s="930"/>
      <c r="IP16" s="930"/>
      <c r="IQ16" s="930"/>
      <c r="IR16" s="930"/>
      <c r="IS16" s="930"/>
      <c r="IT16" s="930"/>
      <c r="IU16" s="930"/>
      <c r="IV16" s="930"/>
    </row>
    <row r="17" spans="1:256" ht="39">
      <c r="A17" s="940" t="s">
        <v>345</v>
      </c>
      <c r="B17" s="934" t="s">
        <v>563</v>
      </c>
      <c r="C17" s="934" t="s">
        <v>564</v>
      </c>
      <c r="D17" s="934" t="s">
        <v>572</v>
      </c>
      <c r="E17" s="934" t="s">
        <v>573</v>
      </c>
      <c r="F17" s="934" t="s">
        <v>574</v>
      </c>
      <c r="G17" s="934" t="s">
        <v>575</v>
      </c>
      <c r="H17" s="934" t="s">
        <v>565</v>
      </c>
      <c r="I17" s="934" t="s">
        <v>576</v>
      </c>
      <c r="J17" s="930"/>
      <c r="K17" s="941"/>
      <c r="L17" s="941"/>
      <c r="M17" s="941"/>
      <c r="N17" s="941"/>
      <c r="O17" s="941"/>
      <c r="P17" s="941"/>
      <c r="Q17" s="941"/>
      <c r="R17" s="941"/>
      <c r="S17" s="941"/>
      <c r="T17" s="941"/>
      <c r="U17" s="941"/>
      <c r="V17" s="941"/>
      <c r="W17" s="941"/>
      <c r="X17" s="941"/>
      <c r="Y17" s="941"/>
      <c r="Z17" s="941"/>
      <c r="AA17" s="941"/>
      <c r="AB17" s="941"/>
      <c r="AC17" s="941"/>
      <c r="AD17" s="941"/>
      <c r="AE17" s="941"/>
      <c r="AF17" s="941"/>
      <c r="AG17" s="941"/>
      <c r="AH17" s="941"/>
      <c r="AI17" s="941"/>
      <c r="AJ17" s="941"/>
      <c r="AK17" s="941"/>
      <c r="AL17" s="941"/>
      <c r="AM17" s="941"/>
      <c r="AN17" s="941"/>
      <c r="AO17" s="941"/>
      <c r="AP17" s="941"/>
      <c r="AQ17" s="941"/>
      <c r="AR17" s="941"/>
      <c r="AS17" s="941"/>
      <c r="AT17" s="941"/>
      <c r="AU17" s="941"/>
      <c r="AV17" s="941"/>
      <c r="AW17" s="941"/>
      <c r="AX17" s="941"/>
      <c r="AY17" s="941"/>
      <c r="AZ17" s="941"/>
      <c r="BA17" s="941"/>
      <c r="BB17" s="941"/>
      <c r="BC17" s="941"/>
      <c r="BD17" s="941"/>
      <c r="BE17" s="941"/>
      <c r="BF17" s="941"/>
      <c r="BG17" s="941"/>
      <c r="BH17" s="941"/>
      <c r="BI17" s="941"/>
      <c r="BJ17" s="941"/>
      <c r="BK17" s="941"/>
      <c r="BL17" s="941"/>
      <c r="BM17" s="941"/>
      <c r="BN17" s="941"/>
      <c r="BO17" s="941"/>
      <c r="BP17" s="941"/>
      <c r="BQ17" s="941"/>
      <c r="BR17" s="941"/>
      <c r="BS17" s="941"/>
      <c r="BT17" s="941"/>
      <c r="BU17" s="941"/>
      <c r="BV17" s="941"/>
      <c r="BW17" s="941"/>
      <c r="BX17" s="941"/>
      <c r="BY17" s="941"/>
      <c r="BZ17" s="941"/>
      <c r="CA17" s="941"/>
      <c r="CB17" s="941"/>
      <c r="CC17" s="941"/>
      <c r="CD17" s="941"/>
      <c r="CE17" s="941"/>
      <c r="CF17" s="941"/>
      <c r="CG17" s="941"/>
      <c r="CH17" s="941"/>
      <c r="CI17" s="941"/>
      <c r="CJ17" s="941"/>
      <c r="CK17" s="941"/>
      <c r="CL17" s="941"/>
      <c r="CM17" s="941"/>
      <c r="CN17" s="941"/>
      <c r="CO17" s="941"/>
      <c r="CP17" s="941"/>
      <c r="CQ17" s="941"/>
      <c r="CR17" s="941"/>
      <c r="CS17" s="941"/>
      <c r="CT17" s="941"/>
      <c r="CU17" s="941"/>
      <c r="CV17" s="941"/>
      <c r="CW17" s="941"/>
      <c r="CX17" s="941"/>
      <c r="CY17" s="941"/>
      <c r="CZ17" s="941"/>
      <c r="DA17" s="941"/>
      <c r="DB17" s="941"/>
      <c r="DC17" s="941"/>
      <c r="DD17" s="941"/>
      <c r="DE17" s="941"/>
      <c r="DF17" s="941"/>
      <c r="DG17" s="941"/>
      <c r="DH17" s="941"/>
      <c r="DI17" s="941"/>
      <c r="DJ17" s="941"/>
      <c r="DK17" s="941"/>
      <c r="DL17" s="941"/>
      <c r="DM17" s="941"/>
      <c r="DN17" s="941"/>
      <c r="DO17" s="941"/>
      <c r="DP17" s="941"/>
      <c r="DQ17" s="941"/>
      <c r="DR17" s="941"/>
      <c r="DS17" s="941"/>
      <c r="DT17" s="941"/>
      <c r="DU17" s="941"/>
      <c r="DV17" s="941"/>
      <c r="DW17" s="941"/>
      <c r="DX17" s="941"/>
      <c r="DY17" s="941"/>
      <c r="DZ17" s="941"/>
      <c r="EA17" s="941"/>
      <c r="EB17" s="941"/>
      <c r="EC17" s="941"/>
      <c r="ED17" s="941"/>
      <c r="EE17" s="941"/>
      <c r="EF17" s="941"/>
      <c r="EG17" s="941"/>
      <c r="EH17" s="941"/>
      <c r="EI17" s="941"/>
      <c r="EJ17" s="941"/>
      <c r="EK17" s="941"/>
      <c r="EL17" s="941"/>
      <c r="EM17" s="941"/>
      <c r="EN17" s="941"/>
      <c r="EO17" s="941"/>
      <c r="EP17" s="941"/>
      <c r="EQ17" s="941"/>
      <c r="ER17" s="941"/>
      <c r="ES17" s="941"/>
      <c r="ET17" s="941"/>
      <c r="EU17" s="941"/>
      <c r="EV17" s="941"/>
      <c r="EW17" s="941"/>
      <c r="EX17" s="941"/>
      <c r="EY17" s="941"/>
      <c r="EZ17" s="941"/>
      <c r="FA17" s="941"/>
      <c r="FB17" s="941"/>
      <c r="FC17" s="941"/>
      <c r="FD17" s="941"/>
      <c r="FE17" s="941"/>
      <c r="FF17" s="941"/>
      <c r="FG17" s="941"/>
      <c r="FH17" s="941"/>
      <c r="FI17" s="941"/>
      <c r="FJ17" s="941"/>
      <c r="FK17" s="941"/>
      <c r="FL17" s="941"/>
      <c r="FM17" s="941"/>
      <c r="FN17" s="941"/>
      <c r="FO17" s="941"/>
      <c r="FP17" s="941"/>
      <c r="FQ17" s="941"/>
      <c r="FR17" s="941"/>
      <c r="FS17" s="941"/>
      <c r="FT17" s="941"/>
      <c r="FU17" s="941"/>
      <c r="FV17" s="941"/>
      <c r="FW17" s="941"/>
      <c r="FX17" s="941"/>
      <c r="FY17" s="941"/>
      <c r="FZ17" s="941"/>
      <c r="GA17" s="941"/>
      <c r="GB17" s="941"/>
      <c r="GC17" s="941"/>
      <c r="GD17" s="941"/>
      <c r="GE17" s="941"/>
      <c r="GF17" s="941"/>
      <c r="GG17" s="941"/>
      <c r="GH17" s="941"/>
      <c r="GI17" s="941"/>
      <c r="GJ17" s="941"/>
      <c r="GK17" s="941"/>
      <c r="GL17" s="941"/>
      <c r="GM17" s="941"/>
      <c r="GN17" s="941"/>
      <c r="GO17" s="941"/>
      <c r="GP17" s="941"/>
      <c r="GQ17" s="941"/>
      <c r="GR17" s="941"/>
      <c r="GS17" s="941"/>
      <c r="GT17" s="941"/>
      <c r="GU17" s="941"/>
      <c r="GV17" s="941"/>
      <c r="GW17" s="941"/>
      <c r="GX17" s="941"/>
      <c r="GY17" s="941"/>
      <c r="GZ17" s="941"/>
      <c r="HA17" s="941"/>
      <c r="HB17" s="941"/>
      <c r="HC17" s="941"/>
      <c r="HD17" s="941"/>
      <c r="HE17" s="941"/>
      <c r="HF17" s="941"/>
      <c r="HG17" s="941"/>
      <c r="HH17" s="941"/>
      <c r="HI17" s="941"/>
      <c r="HJ17" s="941"/>
      <c r="HK17" s="941"/>
      <c r="HL17" s="941"/>
      <c r="HM17" s="941"/>
      <c r="HN17" s="941"/>
      <c r="HO17" s="941"/>
      <c r="HP17" s="941"/>
      <c r="HQ17" s="941"/>
      <c r="HR17" s="941"/>
      <c r="HS17" s="941"/>
      <c r="HT17" s="941"/>
      <c r="HU17" s="941"/>
      <c r="HV17" s="941"/>
      <c r="HW17" s="941"/>
      <c r="HX17" s="941"/>
      <c r="HY17" s="941"/>
      <c r="HZ17" s="941"/>
      <c r="IA17" s="941"/>
      <c r="IB17" s="941"/>
      <c r="IC17" s="941"/>
      <c r="ID17" s="941"/>
      <c r="IE17" s="941"/>
      <c r="IF17" s="941"/>
      <c r="IG17" s="941"/>
      <c r="IH17" s="941"/>
      <c r="II17" s="941"/>
      <c r="IJ17" s="941"/>
      <c r="IK17" s="941"/>
      <c r="IL17" s="941"/>
      <c r="IM17" s="941"/>
      <c r="IN17" s="941"/>
      <c r="IO17" s="941"/>
      <c r="IP17" s="941"/>
      <c r="IQ17" s="941"/>
      <c r="IR17" s="941"/>
      <c r="IS17" s="941"/>
      <c r="IT17" s="941"/>
      <c r="IU17" s="941"/>
      <c r="IV17" s="941"/>
    </row>
    <row r="18" spans="1:256">
      <c r="A18" s="935">
        <f>+A14+1</f>
        <v>5</v>
      </c>
      <c r="B18" s="931" t="s">
        <v>566</v>
      </c>
      <c r="C18" s="1128">
        <f>+H12</f>
        <v>-1376177457.3599997</v>
      </c>
      <c r="D18" s="1128">
        <f>C18</f>
        <v>-1376177457.3599997</v>
      </c>
      <c r="E18" s="931"/>
      <c r="F18" s="869">
        <v>365</v>
      </c>
      <c r="G18" s="1129">
        <f>F18/$F$18</f>
        <v>1</v>
      </c>
      <c r="H18" s="1128">
        <f>C18*G18</f>
        <v>-1376177457.3599997</v>
      </c>
      <c r="I18" s="1128">
        <f>H18</f>
        <v>-1376177457.3599997</v>
      </c>
      <c r="J18" s="930"/>
      <c r="K18" s="930"/>
      <c r="L18" s="930"/>
      <c r="M18" s="930"/>
      <c r="N18" s="930"/>
      <c r="O18" s="930"/>
      <c r="P18" s="930"/>
      <c r="Q18" s="930"/>
      <c r="R18" s="930"/>
      <c r="S18" s="930"/>
      <c r="T18" s="930"/>
      <c r="U18" s="930"/>
      <c r="V18" s="930"/>
      <c r="W18" s="930"/>
      <c r="X18" s="930"/>
      <c r="Y18" s="930"/>
      <c r="Z18" s="930"/>
      <c r="AA18" s="930"/>
      <c r="AB18" s="930"/>
      <c r="AC18" s="930"/>
      <c r="AD18" s="930"/>
      <c r="AE18" s="930"/>
      <c r="AF18" s="930"/>
      <c r="AG18" s="930"/>
      <c r="AH18" s="930"/>
      <c r="AI18" s="930"/>
      <c r="AJ18" s="930"/>
      <c r="AK18" s="930"/>
      <c r="AL18" s="930"/>
      <c r="AM18" s="930"/>
      <c r="AN18" s="930"/>
      <c r="AO18" s="930"/>
      <c r="AP18" s="930"/>
      <c r="AQ18" s="930"/>
      <c r="AR18" s="930"/>
      <c r="AS18" s="930"/>
      <c r="AT18" s="930"/>
      <c r="AU18" s="930"/>
      <c r="AV18" s="930"/>
      <c r="AW18" s="930"/>
      <c r="AX18" s="930"/>
      <c r="AY18" s="930"/>
      <c r="AZ18" s="930"/>
      <c r="BA18" s="930"/>
      <c r="BB18" s="930"/>
      <c r="BC18" s="930"/>
      <c r="BD18" s="930"/>
      <c r="BE18" s="930"/>
      <c r="BF18" s="930"/>
      <c r="BG18" s="930"/>
      <c r="BH18" s="930"/>
      <c r="BI18" s="930"/>
      <c r="BJ18" s="930"/>
      <c r="BK18" s="930"/>
      <c r="BL18" s="930"/>
      <c r="BM18" s="930"/>
      <c r="BN18" s="930"/>
      <c r="BO18" s="930"/>
      <c r="BP18" s="930"/>
      <c r="BQ18" s="930"/>
      <c r="BR18" s="930"/>
      <c r="BS18" s="930"/>
      <c r="BT18" s="930"/>
      <c r="BU18" s="930"/>
      <c r="BV18" s="930"/>
      <c r="BW18" s="930"/>
      <c r="BX18" s="930"/>
      <c r="BY18" s="930"/>
      <c r="BZ18" s="930"/>
      <c r="CA18" s="930"/>
      <c r="CB18" s="930"/>
      <c r="CC18" s="930"/>
      <c r="CD18" s="930"/>
      <c r="CE18" s="930"/>
      <c r="CF18" s="930"/>
      <c r="CG18" s="930"/>
      <c r="CH18" s="930"/>
      <c r="CI18" s="930"/>
      <c r="CJ18" s="930"/>
      <c r="CK18" s="930"/>
      <c r="CL18" s="930"/>
      <c r="CM18" s="930"/>
      <c r="CN18" s="930"/>
      <c r="CO18" s="930"/>
      <c r="CP18" s="930"/>
      <c r="CQ18" s="930"/>
      <c r="CR18" s="930"/>
      <c r="CS18" s="930"/>
      <c r="CT18" s="930"/>
      <c r="CU18" s="930"/>
      <c r="CV18" s="930"/>
      <c r="CW18" s="930"/>
      <c r="CX18" s="930"/>
      <c r="CY18" s="930"/>
      <c r="CZ18" s="930"/>
      <c r="DA18" s="930"/>
      <c r="DB18" s="930"/>
      <c r="DC18" s="930"/>
      <c r="DD18" s="930"/>
      <c r="DE18" s="930"/>
      <c r="DF18" s="930"/>
      <c r="DG18" s="930"/>
      <c r="DH18" s="930"/>
      <c r="DI18" s="930"/>
      <c r="DJ18" s="930"/>
      <c r="DK18" s="930"/>
      <c r="DL18" s="930"/>
      <c r="DM18" s="930"/>
      <c r="DN18" s="930"/>
      <c r="DO18" s="930"/>
      <c r="DP18" s="930"/>
      <c r="DQ18" s="930"/>
      <c r="DR18" s="930"/>
      <c r="DS18" s="930"/>
      <c r="DT18" s="930"/>
      <c r="DU18" s="930"/>
      <c r="DV18" s="930"/>
      <c r="DW18" s="930"/>
      <c r="DX18" s="930"/>
      <c r="DY18" s="930"/>
      <c r="DZ18" s="930"/>
      <c r="EA18" s="930"/>
      <c r="EB18" s="930"/>
      <c r="EC18" s="930"/>
      <c r="ED18" s="930"/>
      <c r="EE18" s="930"/>
      <c r="EF18" s="930"/>
      <c r="EG18" s="930"/>
      <c r="EH18" s="930"/>
      <c r="EI18" s="930"/>
      <c r="EJ18" s="930"/>
      <c r="EK18" s="930"/>
      <c r="EL18" s="930"/>
      <c r="EM18" s="930"/>
      <c r="EN18" s="930"/>
      <c r="EO18" s="930"/>
      <c r="EP18" s="930"/>
      <c r="EQ18" s="930"/>
      <c r="ER18" s="930"/>
      <c r="ES18" s="930"/>
      <c r="ET18" s="930"/>
      <c r="EU18" s="930"/>
      <c r="EV18" s="930"/>
      <c r="EW18" s="930"/>
      <c r="EX18" s="930"/>
      <c r="EY18" s="930"/>
      <c r="EZ18" s="930"/>
      <c r="FA18" s="930"/>
      <c r="FB18" s="930"/>
      <c r="FC18" s="930"/>
      <c r="FD18" s="930"/>
      <c r="FE18" s="930"/>
      <c r="FF18" s="930"/>
      <c r="FG18" s="930"/>
      <c r="FH18" s="930"/>
      <c r="FI18" s="930"/>
      <c r="FJ18" s="930"/>
      <c r="FK18" s="930"/>
      <c r="FL18" s="930"/>
      <c r="FM18" s="930"/>
      <c r="FN18" s="930"/>
      <c r="FO18" s="930"/>
      <c r="FP18" s="930"/>
      <c r="FQ18" s="930"/>
      <c r="FR18" s="930"/>
      <c r="FS18" s="930"/>
      <c r="FT18" s="930"/>
      <c r="FU18" s="930"/>
      <c r="FV18" s="930"/>
      <c r="FW18" s="930"/>
      <c r="FX18" s="930"/>
      <c r="FY18" s="930"/>
      <c r="FZ18" s="930"/>
      <c r="GA18" s="930"/>
      <c r="GB18" s="930"/>
      <c r="GC18" s="930"/>
      <c r="GD18" s="930"/>
      <c r="GE18" s="930"/>
      <c r="GF18" s="930"/>
      <c r="GG18" s="930"/>
      <c r="GH18" s="930"/>
      <c r="GI18" s="930"/>
      <c r="GJ18" s="930"/>
      <c r="GK18" s="930"/>
      <c r="GL18" s="930"/>
      <c r="GM18" s="930"/>
      <c r="GN18" s="930"/>
      <c r="GO18" s="930"/>
      <c r="GP18" s="930"/>
      <c r="GQ18" s="930"/>
      <c r="GR18" s="930"/>
      <c r="GS18" s="930"/>
      <c r="GT18" s="930"/>
      <c r="GU18" s="930"/>
      <c r="GV18" s="930"/>
      <c r="GW18" s="930"/>
      <c r="GX18" s="930"/>
      <c r="GY18" s="930"/>
      <c r="GZ18" s="930"/>
      <c r="HA18" s="930"/>
      <c r="HB18" s="930"/>
      <c r="HC18" s="930"/>
      <c r="HD18" s="930"/>
      <c r="HE18" s="930"/>
      <c r="HF18" s="930"/>
      <c r="HG18" s="930"/>
      <c r="HH18" s="930"/>
      <c r="HI18" s="930"/>
      <c r="HJ18" s="930"/>
      <c r="HK18" s="930"/>
      <c r="HL18" s="930"/>
      <c r="HM18" s="930"/>
      <c r="HN18" s="930"/>
      <c r="HO18" s="930"/>
      <c r="HP18" s="930"/>
      <c r="HQ18" s="930"/>
      <c r="HR18" s="930"/>
      <c r="HS18" s="930"/>
      <c r="HT18" s="930"/>
      <c r="HU18" s="930"/>
      <c r="HV18" s="930"/>
      <c r="HW18" s="930"/>
      <c r="HX18" s="930"/>
      <c r="HY18" s="930"/>
      <c r="HZ18" s="930"/>
      <c r="IA18" s="930"/>
      <c r="IB18" s="930"/>
      <c r="IC18" s="930"/>
      <c r="ID18" s="930"/>
      <c r="IE18" s="930"/>
      <c r="IF18" s="930"/>
      <c r="IG18" s="930"/>
      <c r="IH18" s="930"/>
      <c r="II18" s="930"/>
      <c r="IJ18" s="930"/>
      <c r="IK18" s="930"/>
      <c r="IL18" s="930"/>
      <c r="IM18" s="930"/>
      <c r="IN18" s="930"/>
      <c r="IO18" s="930"/>
      <c r="IP18" s="930"/>
      <c r="IQ18" s="930"/>
      <c r="IR18" s="930"/>
      <c r="IS18" s="930"/>
      <c r="IT18" s="930"/>
      <c r="IU18" s="930"/>
      <c r="IV18" s="930"/>
    </row>
    <row r="19" spans="1:256">
      <c r="A19" s="935">
        <f>+A18+1</f>
        <v>6</v>
      </c>
      <c r="B19" s="931" t="s">
        <v>567</v>
      </c>
      <c r="C19" s="1128">
        <f>+$H$14</f>
        <v>-2893152.0833333335</v>
      </c>
      <c r="D19" s="1128">
        <f>D18+C19</f>
        <v>-1379070609.4433329</v>
      </c>
      <c r="E19" s="931">
        <v>31</v>
      </c>
      <c r="F19" s="869">
        <v>335</v>
      </c>
      <c r="G19" s="1129">
        <f t="shared" ref="G19:G30" si="0">F19/$F$18</f>
        <v>0.9178082191780822</v>
      </c>
      <c r="H19" s="1128">
        <f t="shared" ref="H19:H30" si="1">C19*G19</f>
        <v>-2655358.7614155253</v>
      </c>
      <c r="I19" s="1128">
        <f>I18+H19</f>
        <v>-1378832816.1214151</v>
      </c>
      <c r="J19" s="930"/>
      <c r="K19" s="930"/>
      <c r="L19" s="930"/>
      <c r="M19" s="930"/>
      <c r="N19" s="930"/>
      <c r="O19" s="930"/>
      <c r="P19" s="930"/>
      <c r="Q19" s="930"/>
      <c r="R19" s="930"/>
      <c r="S19" s="930"/>
      <c r="T19" s="930"/>
      <c r="U19" s="930"/>
      <c r="V19" s="930"/>
      <c r="W19" s="930"/>
      <c r="X19" s="930"/>
      <c r="Y19" s="930"/>
      <c r="Z19" s="930"/>
      <c r="AA19" s="930"/>
      <c r="AB19" s="930"/>
      <c r="AC19" s="930"/>
      <c r="AD19" s="930"/>
      <c r="AE19" s="930"/>
      <c r="AF19" s="930"/>
      <c r="AG19" s="930"/>
      <c r="AH19" s="930"/>
      <c r="AI19" s="930"/>
      <c r="AJ19" s="930"/>
      <c r="AK19" s="930"/>
      <c r="AL19" s="930"/>
      <c r="AM19" s="930"/>
      <c r="AN19" s="930"/>
      <c r="AO19" s="930"/>
      <c r="AP19" s="930"/>
      <c r="AQ19" s="930"/>
      <c r="AR19" s="930"/>
      <c r="AS19" s="930"/>
      <c r="AT19" s="930"/>
      <c r="AU19" s="930"/>
      <c r="AV19" s="930"/>
      <c r="AW19" s="930"/>
      <c r="AX19" s="930"/>
      <c r="AY19" s="930"/>
      <c r="AZ19" s="930"/>
      <c r="BA19" s="930"/>
      <c r="BB19" s="930"/>
      <c r="BC19" s="930"/>
      <c r="BD19" s="930"/>
      <c r="BE19" s="930"/>
      <c r="BF19" s="930"/>
      <c r="BG19" s="930"/>
      <c r="BH19" s="930"/>
      <c r="BI19" s="930"/>
      <c r="BJ19" s="930"/>
      <c r="BK19" s="930"/>
      <c r="BL19" s="930"/>
      <c r="BM19" s="930"/>
      <c r="BN19" s="930"/>
      <c r="BO19" s="930"/>
      <c r="BP19" s="930"/>
      <c r="BQ19" s="930"/>
      <c r="BR19" s="930"/>
      <c r="BS19" s="930"/>
      <c r="BT19" s="930"/>
      <c r="BU19" s="930"/>
      <c r="BV19" s="930"/>
      <c r="BW19" s="930"/>
      <c r="BX19" s="930"/>
      <c r="BY19" s="930"/>
      <c r="BZ19" s="930"/>
      <c r="CA19" s="930"/>
      <c r="CB19" s="930"/>
      <c r="CC19" s="930"/>
      <c r="CD19" s="930"/>
      <c r="CE19" s="930"/>
      <c r="CF19" s="930"/>
      <c r="CG19" s="930"/>
      <c r="CH19" s="930"/>
      <c r="CI19" s="930"/>
      <c r="CJ19" s="930"/>
      <c r="CK19" s="930"/>
      <c r="CL19" s="930"/>
      <c r="CM19" s="930"/>
      <c r="CN19" s="930"/>
      <c r="CO19" s="930"/>
      <c r="CP19" s="930"/>
      <c r="CQ19" s="930"/>
      <c r="CR19" s="930"/>
      <c r="CS19" s="930"/>
      <c r="CT19" s="930"/>
      <c r="CU19" s="930"/>
      <c r="CV19" s="930"/>
      <c r="CW19" s="930"/>
      <c r="CX19" s="930"/>
      <c r="CY19" s="930"/>
      <c r="CZ19" s="930"/>
      <c r="DA19" s="930"/>
      <c r="DB19" s="930"/>
      <c r="DC19" s="930"/>
      <c r="DD19" s="930"/>
      <c r="DE19" s="930"/>
      <c r="DF19" s="930"/>
      <c r="DG19" s="930"/>
      <c r="DH19" s="930"/>
      <c r="DI19" s="930"/>
      <c r="DJ19" s="930"/>
      <c r="DK19" s="930"/>
      <c r="DL19" s="930"/>
      <c r="DM19" s="930"/>
      <c r="DN19" s="930"/>
      <c r="DO19" s="930"/>
      <c r="DP19" s="930"/>
      <c r="DQ19" s="930"/>
      <c r="DR19" s="930"/>
      <c r="DS19" s="930"/>
      <c r="DT19" s="930"/>
      <c r="DU19" s="930"/>
      <c r="DV19" s="930"/>
      <c r="DW19" s="930"/>
      <c r="DX19" s="930"/>
      <c r="DY19" s="930"/>
      <c r="DZ19" s="930"/>
      <c r="EA19" s="930"/>
      <c r="EB19" s="930"/>
      <c r="EC19" s="930"/>
      <c r="ED19" s="930"/>
      <c r="EE19" s="930"/>
      <c r="EF19" s="930"/>
      <c r="EG19" s="930"/>
      <c r="EH19" s="930"/>
      <c r="EI19" s="930"/>
      <c r="EJ19" s="930"/>
      <c r="EK19" s="930"/>
      <c r="EL19" s="930"/>
      <c r="EM19" s="930"/>
      <c r="EN19" s="930"/>
      <c r="EO19" s="930"/>
      <c r="EP19" s="930"/>
      <c r="EQ19" s="930"/>
      <c r="ER19" s="930"/>
      <c r="ES19" s="930"/>
      <c r="ET19" s="930"/>
      <c r="EU19" s="930"/>
      <c r="EV19" s="930"/>
      <c r="EW19" s="930"/>
      <c r="EX19" s="930"/>
      <c r="EY19" s="930"/>
      <c r="EZ19" s="930"/>
      <c r="FA19" s="930"/>
      <c r="FB19" s="930"/>
      <c r="FC19" s="930"/>
      <c r="FD19" s="930"/>
      <c r="FE19" s="930"/>
      <c r="FF19" s="930"/>
      <c r="FG19" s="930"/>
      <c r="FH19" s="930"/>
      <c r="FI19" s="930"/>
      <c r="FJ19" s="930"/>
      <c r="FK19" s="930"/>
      <c r="FL19" s="930"/>
      <c r="FM19" s="930"/>
      <c r="FN19" s="930"/>
      <c r="FO19" s="930"/>
      <c r="FP19" s="930"/>
      <c r="FQ19" s="930"/>
      <c r="FR19" s="930"/>
      <c r="FS19" s="930"/>
      <c r="FT19" s="930"/>
      <c r="FU19" s="930"/>
      <c r="FV19" s="930"/>
      <c r="FW19" s="930"/>
      <c r="FX19" s="930"/>
      <c r="FY19" s="930"/>
      <c r="FZ19" s="930"/>
      <c r="GA19" s="930"/>
      <c r="GB19" s="930"/>
      <c r="GC19" s="930"/>
      <c r="GD19" s="930"/>
      <c r="GE19" s="930"/>
      <c r="GF19" s="930"/>
      <c r="GG19" s="930"/>
      <c r="GH19" s="930"/>
      <c r="GI19" s="930"/>
      <c r="GJ19" s="930"/>
      <c r="GK19" s="930"/>
      <c r="GL19" s="930"/>
      <c r="GM19" s="930"/>
      <c r="GN19" s="930"/>
      <c r="GO19" s="930"/>
      <c r="GP19" s="930"/>
      <c r="GQ19" s="930"/>
      <c r="GR19" s="930"/>
      <c r="GS19" s="930"/>
      <c r="GT19" s="930"/>
      <c r="GU19" s="930"/>
      <c r="GV19" s="930"/>
      <c r="GW19" s="930"/>
      <c r="GX19" s="930"/>
      <c r="GY19" s="930"/>
      <c r="GZ19" s="930"/>
      <c r="HA19" s="930"/>
      <c r="HB19" s="930"/>
      <c r="HC19" s="930"/>
      <c r="HD19" s="930"/>
      <c r="HE19" s="930"/>
      <c r="HF19" s="930"/>
      <c r="HG19" s="930"/>
      <c r="HH19" s="930"/>
      <c r="HI19" s="930"/>
      <c r="HJ19" s="930"/>
      <c r="HK19" s="930"/>
      <c r="HL19" s="930"/>
      <c r="HM19" s="930"/>
      <c r="HN19" s="930"/>
      <c r="HO19" s="930"/>
      <c r="HP19" s="930"/>
      <c r="HQ19" s="930"/>
      <c r="HR19" s="930"/>
      <c r="HS19" s="930"/>
      <c r="HT19" s="930"/>
      <c r="HU19" s="930"/>
      <c r="HV19" s="930"/>
      <c r="HW19" s="930"/>
      <c r="HX19" s="930"/>
      <c r="HY19" s="930"/>
      <c r="HZ19" s="930"/>
      <c r="IA19" s="930"/>
      <c r="IB19" s="930"/>
      <c r="IC19" s="930"/>
      <c r="ID19" s="930"/>
      <c r="IE19" s="930"/>
      <c r="IF19" s="930"/>
      <c r="IG19" s="930"/>
      <c r="IH19" s="930"/>
      <c r="II19" s="930"/>
      <c r="IJ19" s="930"/>
      <c r="IK19" s="930"/>
      <c r="IL19" s="930"/>
      <c r="IM19" s="930"/>
      <c r="IN19" s="930"/>
      <c r="IO19" s="930"/>
      <c r="IP19" s="930"/>
      <c r="IQ19" s="930"/>
      <c r="IR19" s="930"/>
      <c r="IS19" s="930"/>
      <c r="IT19" s="930"/>
      <c r="IU19" s="930"/>
      <c r="IV19" s="930"/>
    </row>
    <row r="20" spans="1:256">
      <c r="A20" s="935">
        <f t="shared" ref="A20:A30" si="2">+A19+1</f>
        <v>7</v>
      </c>
      <c r="B20" s="931" t="s">
        <v>568</v>
      </c>
      <c r="C20" s="1128">
        <f t="shared" ref="C20:C30" si="3">+$H$14</f>
        <v>-2893152.0833333335</v>
      </c>
      <c r="D20" s="1128">
        <f>D19+C20</f>
        <v>-1381963761.5266662</v>
      </c>
      <c r="E20" s="869">
        <v>28</v>
      </c>
      <c r="F20" s="869">
        <v>307</v>
      </c>
      <c r="G20" s="1129">
        <f t="shared" si="0"/>
        <v>0.84109589041095889</v>
      </c>
      <c r="H20" s="1128">
        <f t="shared" si="1"/>
        <v>-2433418.3276255708</v>
      </c>
      <c r="I20" s="1128">
        <f t="shared" ref="I20:I30" si="4">I19+H20</f>
        <v>-1381266234.4490407</v>
      </c>
      <c r="J20" s="930"/>
      <c r="K20" s="930"/>
      <c r="L20" s="930"/>
      <c r="M20" s="930"/>
      <c r="N20" s="930"/>
      <c r="O20" s="930"/>
      <c r="P20" s="930"/>
      <c r="Q20" s="930"/>
      <c r="R20" s="930"/>
      <c r="S20" s="930"/>
      <c r="T20" s="930"/>
      <c r="U20" s="930"/>
      <c r="V20" s="930"/>
      <c r="W20" s="930"/>
      <c r="X20" s="930"/>
      <c r="Y20" s="930"/>
      <c r="Z20" s="930"/>
      <c r="AA20" s="930"/>
      <c r="AB20" s="930"/>
      <c r="AC20" s="930"/>
      <c r="AD20" s="930"/>
      <c r="AE20" s="930"/>
      <c r="AF20" s="930"/>
      <c r="AG20" s="930"/>
      <c r="AH20" s="930"/>
      <c r="AI20" s="930"/>
      <c r="AJ20" s="930"/>
      <c r="AK20" s="930"/>
      <c r="AL20" s="930"/>
      <c r="AM20" s="930"/>
      <c r="AN20" s="930"/>
      <c r="AO20" s="930"/>
      <c r="AP20" s="930"/>
      <c r="AQ20" s="930"/>
      <c r="AR20" s="930"/>
      <c r="AS20" s="930"/>
      <c r="AT20" s="930"/>
      <c r="AU20" s="930"/>
      <c r="AV20" s="930"/>
      <c r="AW20" s="930"/>
      <c r="AX20" s="930"/>
      <c r="AY20" s="930"/>
      <c r="AZ20" s="930"/>
      <c r="BA20" s="930"/>
      <c r="BB20" s="930"/>
      <c r="BC20" s="930"/>
      <c r="BD20" s="930"/>
      <c r="BE20" s="930"/>
      <c r="BF20" s="930"/>
      <c r="BG20" s="930"/>
      <c r="BH20" s="930"/>
      <c r="BI20" s="930"/>
      <c r="BJ20" s="930"/>
      <c r="BK20" s="930"/>
      <c r="BL20" s="930"/>
      <c r="BM20" s="930"/>
      <c r="BN20" s="930"/>
      <c r="BO20" s="930"/>
      <c r="BP20" s="930"/>
      <c r="BQ20" s="930"/>
      <c r="BR20" s="930"/>
      <c r="BS20" s="930"/>
      <c r="BT20" s="930"/>
      <c r="BU20" s="930"/>
      <c r="BV20" s="930"/>
      <c r="BW20" s="930"/>
      <c r="BX20" s="930"/>
      <c r="BY20" s="930"/>
      <c r="BZ20" s="930"/>
      <c r="CA20" s="930"/>
      <c r="CB20" s="930"/>
      <c r="CC20" s="930"/>
      <c r="CD20" s="930"/>
      <c r="CE20" s="930"/>
      <c r="CF20" s="930"/>
      <c r="CG20" s="930"/>
      <c r="CH20" s="930"/>
      <c r="CI20" s="930"/>
      <c r="CJ20" s="930"/>
      <c r="CK20" s="930"/>
      <c r="CL20" s="930"/>
      <c r="CM20" s="930"/>
      <c r="CN20" s="930"/>
      <c r="CO20" s="930"/>
      <c r="CP20" s="930"/>
      <c r="CQ20" s="930"/>
      <c r="CR20" s="930"/>
      <c r="CS20" s="930"/>
      <c r="CT20" s="930"/>
      <c r="CU20" s="930"/>
      <c r="CV20" s="930"/>
      <c r="CW20" s="930"/>
      <c r="CX20" s="930"/>
      <c r="CY20" s="930"/>
      <c r="CZ20" s="930"/>
      <c r="DA20" s="930"/>
      <c r="DB20" s="930"/>
      <c r="DC20" s="930"/>
      <c r="DD20" s="930"/>
      <c r="DE20" s="930"/>
      <c r="DF20" s="930"/>
      <c r="DG20" s="930"/>
      <c r="DH20" s="930"/>
      <c r="DI20" s="930"/>
      <c r="DJ20" s="930"/>
      <c r="DK20" s="930"/>
      <c r="DL20" s="930"/>
      <c r="DM20" s="930"/>
      <c r="DN20" s="930"/>
      <c r="DO20" s="930"/>
      <c r="DP20" s="930"/>
      <c r="DQ20" s="930"/>
      <c r="DR20" s="930"/>
      <c r="DS20" s="930"/>
      <c r="DT20" s="930"/>
      <c r="DU20" s="930"/>
      <c r="DV20" s="930"/>
      <c r="DW20" s="930"/>
      <c r="DX20" s="930"/>
      <c r="DY20" s="930"/>
      <c r="DZ20" s="930"/>
      <c r="EA20" s="930"/>
      <c r="EB20" s="930"/>
      <c r="EC20" s="930"/>
      <c r="ED20" s="930"/>
      <c r="EE20" s="930"/>
      <c r="EF20" s="930"/>
      <c r="EG20" s="930"/>
      <c r="EH20" s="930"/>
      <c r="EI20" s="930"/>
      <c r="EJ20" s="930"/>
      <c r="EK20" s="930"/>
      <c r="EL20" s="930"/>
      <c r="EM20" s="930"/>
      <c r="EN20" s="930"/>
      <c r="EO20" s="930"/>
      <c r="EP20" s="930"/>
      <c r="EQ20" s="930"/>
      <c r="ER20" s="930"/>
      <c r="ES20" s="930"/>
      <c r="ET20" s="930"/>
      <c r="EU20" s="930"/>
      <c r="EV20" s="930"/>
      <c r="EW20" s="930"/>
      <c r="EX20" s="930"/>
      <c r="EY20" s="930"/>
      <c r="EZ20" s="930"/>
      <c r="FA20" s="930"/>
      <c r="FB20" s="930"/>
      <c r="FC20" s="930"/>
      <c r="FD20" s="930"/>
      <c r="FE20" s="930"/>
      <c r="FF20" s="930"/>
      <c r="FG20" s="930"/>
      <c r="FH20" s="930"/>
      <c r="FI20" s="930"/>
      <c r="FJ20" s="930"/>
      <c r="FK20" s="930"/>
      <c r="FL20" s="930"/>
      <c r="FM20" s="930"/>
      <c r="FN20" s="930"/>
      <c r="FO20" s="930"/>
      <c r="FP20" s="930"/>
      <c r="FQ20" s="930"/>
      <c r="FR20" s="930"/>
      <c r="FS20" s="930"/>
      <c r="FT20" s="930"/>
      <c r="FU20" s="930"/>
      <c r="FV20" s="930"/>
      <c r="FW20" s="930"/>
      <c r="FX20" s="930"/>
      <c r="FY20" s="930"/>
      <c r="FZ20" s="930"/>
      <c r="GA20" s="930"/>
      <c r="GB20" s="930"/>
      <c r="GC20" s="930"/>
      <c r="GD20" s="930"/>
      <c r="GE20" s="930"/>
      <c r="GF20" s="930"/>
      <c r="GG20" s="930"/>
      <c r="GH20" s="930"/>
      <c r="GI20" s="930"/>
      <c r="GJ20" s="930"/>
      <c r="GK20" s="930"/>
      <c r="GL20" s="930"/>
      <c r="GM20" s="930"/>
      <c r="GN20" s="930"/>
      <c r="GO20" s="930"/>
      <c r="GP20" s="930"/>
      <c r="GQ20" s="930"/>
      <c r="GR20" s="930"/>
      <c r="GS20" s="930"/>
      <c r="GT20" s="930"/>
      <c r="GU20" s="930"/>
      <c r="GV20" s="930"/>
      <c r="GW20" s="930"/>
      <c r="GX20" s="930"/>
      <c r="GY20" s="930"/>
      <c r="GZ20" s="930"/>
      <c r="HA20" s="930"/>
      <c r="HB20" s="930"/>
      <c r="HC20" s="930"/>
      <c r="HD20" s="930"/>
      <c r="HE20" s="930"/>
      <c r="HF20" s="930"/>
      <c r="HG20" s="930"/>
      <c r="HH20" s="930"/>
      <c r="HI20" s="930"/>
      <c r="HJ20" s="930"/>
      <c r="HK20" s="930"/>
      <c r="HL20" s="930"/>
      <c r="HM20" s="930"/>
      <c r="HN20" s="930"/>
      <c r="HO20" s="930"/>
      <c r="HP20" s="930"/>
      <c r="HQ20" s="930"/>
      <c r="HR20" s="930"/>
      <c r="HS20" s="930"/>
      <c r="HT20" s="930"/>
      <c r="HU20" s="930"/>
      <c r="HV20" s="930"/>
      <c r="HW20" s="930"/>
      <c r="HX20" s="930"/>
      <c r="HY20" s="930"/>
      <c r="HZ20" s="930"/>
      <c r="IA20" s="930"/>
      <c r="IB20" s="930"/>
      <c r="IC20" s="930"/>
      <c r="ID20" s="930"/>
      <c r="IE20" s="930"/>
      <c r="IF20" s="930"/>
      <c r="IG20" s="930"/>
      <c r="IH20" s="930"/>
      <c r="II20" s="930"/>
      <c r="IJ20" s="930"/>
      <c r="IK20" s="930"/>
      <c r="IL20" s="930"/>
      <c r="IM20" s="930"/>
      <c r="IN20" s="930"/>
      <c r="IO20" s="930"/>
      <c r="IP20" s="930"/>
      <c r="IQ20" s="930"/>
      <c r="IR20" s="930"/>
      <c r="IS20" s="930"/>
      <c r="IT20" s="930"/>
      <c r="IU20" s="930"/>
      <c r="IV20" s="930"/>
    </row>
    <row r="21" spans="1:256">
      <c r="A21" s="935">
        <f t="shared" si="2"/>
        <v>8</v>
      </c>
      <c r="B21" s="931" t="s">
        <v>360</v>
      </c>
      <c r="C21" s="1128">
        <f t="shared" si="3"/>
        <v>-2893152.0833333335</v>
      </c>
      <c r="D21" s="1128">
        <f>D20+C21</f>
        <v>-1384856913.6099994</v>
      </c>
      <c r="E21" s="931">
        <v>31</v>
      </c>
      <c r="F21" s="869">
        <v>276</v>
      </c>
      <c r="G21" s="1129">
        <f t="shared" si="0"/>
        <v>0.75616438356164384</v>
      </c>
      <c r="H21" s="1128">
        <f t="shared" si="1"/>
        <v>-2187698.5616438356</v>
      </c>
      <c r="I21" s="1128">
        <f t="shared" si="4"/>
        <v>-1383453933.0106845</v>
      </c>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0"/>
      <c r="AY21" s="930"/>
      <c r="AZ21" s="930"/>
      <c r="BA21" s="930"/>
      <c r="BB21" s="930"/>
      <c r="BC21" s="930"/>
      <c r="BD21" s="930"/>
      <c r="BE21" s="930"/>
      <c r="BF21" s="930"/>
      <c r="BG21" s="930"/>
      <c r="BH21" s="930"/>
      <c r="BI21" s="930"/>
      <c r="BJ21" s="930"/>
      <c r="BK21" s="930"/>
      <c r="BL21" s="930"/>
      <c r="BM21" s="930"/>
      <c r="BN21" s="930"/>
      <c r="BO21" s="930"/>
      <c r="BP21" s="930"/>
      <c r="BQ21" s="930"/>
      <c r="BR21" s="930"/>
      <c r="BS21" s="930"/>
      <c r="BT21" s="930"/>
      <c r="BU21" s="930"/>
      <c r="BV21" s="930"/>
      <c r="BW21" s="930"/>
      <c r="BX21" s="930"/>
      <c r="BY21" s="930"/>
      <c r="BZ21" s="930"/>
      <c r="CA21" s="930"/>
      <c r="CB21" s="930"/>
      <c r="CC21" s="930"/>
      <c r="CD21" s="930"/>
      <c r="CE21" s="930"/>
      <c r="CF21" s="930"/>
      <c r="CG21" s="930"/>
      <c r="CH21" s="930"/>
      <c r="CI21" s="930"/>
      <c r="CJ21" s="930"/>
      <c r="CK21" s="930"/>
      <c r="CL21" s="930"/>
      <c r="CM21" s="930"/>
      <c r="CN21" s="930"/>
      <c r="CO21" s="930"/>
      <c r="CP21" s="930"/>
      <c r="CQ21" s="930"/>
      <c r="CR21" s="930"/>
      <c r="CS21" s="930"/>
      <c r="CT21" s="930"/>
      <c r="CU21" s="930"/>
      <c r="CV21" s="930"/>
      <c r="CW21" s="930"/>
      <c r="CX21" s="930"/>
      <c r="CY21" s="930"/>
      <c r="CZ21" s="930"/>
      <c r="DA21" s="930"/>
      <c r="DB21" s="930"/>
      <c r="DC21" s="930"/>
      <c r="DD21" s="930"/>
      <c r="DE21" s="930"/>
      <c r="DF21" s="930"/>
      <c r="DG21" s="930"/>
      <c r="DH21" s="930"/>
      <c r="DI21" s="930"/>
      <c r="DJ21" s="930"/>
      <c r="DK21" s="930"/>
      <c r="DL21" s="930"/>
      <c r="DM21" s="930"/>
      <c r="DN21" s="930"/>
      <c r="DO21" s="930"/>
      <c r="DP21" s="930"/>
      <c r="DQ21" s="930"/>
      <c r="DR21" s="930"/>
      <c r="DS21" s="930"/>
      <c r="DT21" s="930"/>
      <c r="DU21" s="930"/>
      <c r="DV21" s="930"/>
      <c r="DW21" s="930"/>
      <c r="DX21" s="930"/>
      <c r="DY21" s="930"/>
      <c r="DZ21" s="930"/>
      <c r="EA21" s="930"/>
      <c r="EB21" s="930"/>
      <c r="EC21" s="930"/>
      <c r="ED21" s="930"/>
      <c r="EE21" s="930"/>
      <c r="EF21" s="930"/>
      <c r="EG21" s="930"/>
      <c r="EH21" s="930"/>
      <c r="EI21" s="930"/>
      <c r="EJ21" s="930"/>
      <c r="EK21" s="930"/>
      <c r="EL21" s="930"/>
      <c r="EM21" s="930"/>
      <c r="EN21" s="930"/>
      <c r="EO21" s="930"/>
      <c r="EP21" s="930"/>
      <c r="EQ21" s="930"/>
      <c r="ER21" s="930"/>
      <c r="ES21" s="930"/>
      <c r="ET21" s="930"/>
      <c r="EU21" s="930"/>
      <c r="EV21" s="930"/>
      <c r="EW21" s="930"/>
      <c r="EX21" s="930"/>
      <c r="EY21" s="930"/>
      <c r="EZ21" s="930"/>
      <c r="FA21" s="930"/>
      <c r="FB21" s="930"/>
      <c r="FC21" s="930"/>
      <c r="FD21" s="930"/>
      <c r="FE21" s="930"/>
      <c r="FF21" s="930"/>
      <c r="FG21" s="930"/>
      <c r="FH21" s="930"/>
      <c r="FI21" s="930"/>
      <c r="FJ21" s="930"/>
      <c r="FK21" s="930"/>
      <c r="FL21" s="930"/>
      <c r="FM21" s="930"/>
      <c r="FN21" s="930"/>
      <c r="FO21" s="930"/>
      <c r="FP21" s="930"/>
      <c r="FQ21" s="930"/>
      <c r="FR21" s="930"/>
      <c r="FS21" s="930"/>
      <c r="FT21" s="930"/>
      <c r="FU21" s="930"/>
      <c r="FV21" s="930"/>
      <c r="FW21" s="930"/>
      <c r="FX21" s="930"/>
      <c r="FY21" s="930"/>
      <c r="FZ21" s="930"/>
      <c r="GA21" s="930"/>
      <c r="GB21" s="930"/>
      <c r="GC21" s="930"/>
      <c r="GD21" s="930"/>
      <c r="GE21" s="930"/>
      <c r="GF21" s="930"/>
      <c r="GG21" s="930"/>
      <c r="GH21" s="930"/>
      <c r="GI21" s="930"/>
      <c r="GJ21" s="930"/>
      <c r="GK21" s="930"/>
      <c r="GL21" s="930"/>
      <c r="GM21" s="930"/>
      <c r="GN21" s="930"/>
      <c r="GO21" s="930"/>
      <c r="GP21" s="930"/>
      <c r="GQ21" s="930"/>
      <c r="GR21" s="930"/>
      <c r="GS21" s="930"/>
      <c r="GT21" s="930"/>
      <c r="GU21" s="930"/>
      <c r="GV21" s="930"/>
      <c r="GW21" s="930"/>
      <c r="GX21" s="930"/>
      <c r="GY21" s="930"/>
      <c r="GZ21" s="930"/>
      <c r="HA21" s="930"/>
      <c r="HB21" s="930"/>
      <c r="HC21" s="930"/>
      <c r="HD21" s="930"/>
      <c r="HE21" s="930"/>
      <c r="HF21" s="930"/>
      <c r="HG21" s="930"/>
      <c r="HH21" s="930"/>
      <c r="HI21" s="930"/>
      <c r="HJ21" s="930"/>
      <c r="HK21" s="930"/>
      <c r="HL21" s="930"/>
      <c r="HM21" s="930"/>
      <c r="HN21" s="930"/>
      <c r="HO21" s="930"/>
      <c r="HP21" s="930"/>
      <c r="HQ21" s="930"/>
      <c r="HR21" s="930"/>
      <c r="HS21" s="930"/>
      <c r="HT21" s="930"/>
      <c r="HU21" s="930"/>
      <c r="HV21" s="930"/>
      <c r="HW21" s="930"/>
      <c r="HX21" s="930"/>
      <c r="HY21" s="930"/>
      <c r="HZ21" s="930"/>
      <c r="IA21" s="930"/>
      <c r="IB21" s="930"/>
      <c r="IC21" s="930"/>
      <c r="ID21" s="930"/>
      <c r="IE21" s="930"/>
      <c r="IF21" s="930"/>
      <c r="IG21" s="930"/>
      <c r="IH21" s="930"/>
      <c r="II21" s="930"/>
      <c r="IJ21" s="930"/>
      <c r="IK21" s="930"/>
      <c r="IL21" s="930"/>
      <c r="IM21" s="930"/>
      <c r="IN21" s="930"/>
      <c r="IO21" s="930"/>
      <c r="IP21" s="930"/>
      <c r="IQ21" s="930"/>
      <c r="IR21" s="930"/>
      <c r="IS21" s="930"/>
      <c r="IT21" s="930"/>
      <c r="IU21" s="930"/>
      <c r="IV21" s="930"/>
    </row>
    <row r="22" spans="1:256">
      <c r="A22" s="935">
        <f t="shared" si="2"/>
        <v>9</v>
      </c>
      <c r="B22" s="931" t="s">
        <v>361</v>
      </c>
      <c r="C22" s="1128">
        <f t="shared" si="3"/>
        <v>-2893152.0833333335</v>
      </c>
      <c r="D22" s="1128">
        <f t="shared" ref="D22:D30" si="5">D21+C22</f>
        <v>-1387750065.6933327</v>
      </c>
      <c r="E22" s="931">
        <v>30</v>
      </c>
      <c r="F22" s="869">
        <v>246</v>
      </c>
      <c r="G22" s="1129">
        <f t="shared" si="0"/>
        <v>0.67397260273972603</v>
      </c>
      <c r="H22" s="1128">
        <f t="shared" si="1"/>
        <v>-1949905.2397260275</v>
      </c>
      <c r="I22" s="1128">
        <f t="shared" si="4"/>
        <v>-1385403838.2504106</v>
      </c>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0"/>
      <c r="AY22" s="930"/>
      <c r="AZ22" s="930"/>
      <c r="BA22" s="930"/>
      <c r="BB22" s="930"/>
      <c r="BC22" s="930"/>
      <c r="BD22" s="930"/>
      <c r="BE22" s="930"/>
      <c r="BF22" s="930"/>
      <c r="BG22" s="930"/>
      <c r="BH22" s="930"/>
      <c r="BI22" s="930"/>
      <c r="BJ22" s="930"/>
      <c r="BK22" s="930"/>
      <c r="BL22" s="930"/>
      <c r="BM22" s="930"/>
      <c r="BN22" s="930"/>
      <c r="BO22" s="930"/>
      <c r="BP22" s="930"/>
      <c r="BQ22" s="930"/>
      <c r="BR22" s="930"/>
      <c r="BS22" s="930"/>
      <c r="BT22" s="930"/>
      <c r="BU22" s="930"/>
      <c r="BV22" s="930"/>
      <c r="BW22" s="930"/>
      <c r="BX22" s="930"/>
      <c r="BY22" s="930"/>
      <c r="BZ22" s="930"/>
      <c r="CA22" s="930"/>
      <c r="CB22" s="930"/>
      <c r="CC22" s="930"/>
      <c r="CD22" s="930"/>
      <c r="CE22" s="930"/>
      <c r="CF22" s="930"/>
      <c r="CG22" s="930"/>
      <c r="CH22" s="930"/>
      <c r="CI22" s="930"/>
      <c r="CJ22" s="930"/>
      <c r="CK22" s="930"/>
      <c r="CL22" s="930"/>
      <c r="CM22" s="930"/>
      <c r="CN22" s="930"/>
      <c r="CO22" s="930"/>
      <c r="CP22" s="930"/>
      <c r="CQ22" s="930"/>
      <c r="CR22" s="930"/>
      <c r="CS22" s="930"/>
      <c r="CT22" s="930"/>
      <c r="CU22" s="930"/>
      <c r="CV22" s="930"/>
      <c r="CW22" s="930"/>
      <c r="CX22" s="930"/>
      <c r="CY22" s="930"/>
      <c r="CZ22" s="930"/>
      <c r="DA22" s="930"/>
      <c r="DB22" s="930"/>
      <c r="DC22" s="930"/>
      <c r="DD22" s="930"/>
      <c r="DE22" s="930"/>
      <c r="DF22" s="930"/>
      <c r="DG22" s="930"/>
      <c r="DH22" s="930"/>
      <c r="DI22" s="930"/>
      <c r="DJ22" s="930"/>
      <c r="DK22" s="930"/>
      <c r="DL22" s="930"/>
      <c r="DM22" s="930"/>
      <c r="DN22" s="930"/>
      <c r="DO22" s="930"/>
      <c r="DP22" s="930"/>
      <c r="DQ22" s="930"/>
      <c r="DR22" s="930"/>
      <c r="DS22" s="930"/>
      <c r="DT22" s="930"/>
      <c r="DU22" s="930"/>
      <c r="DV22" s="930"/>
      <c r="DW22" s="930"/>
      <c r="DX22" s="930"/>
      <c r="DY22" s="930"/>
      <c r="DZ22" s="930"/>
      <c r="EA22" s="930"/>
      <c r="EB22" s="930"/>
      <c r="EC22" s="930"/>
      <c r="ED22" s="930"/>
      <c r="EE22" s="930"/>
      <c r="EF22" s="930"/>
      <c r="EG22" s="930"/>
      <c r="EH22" s="930"/>
      <c r="EI22" s="930"/>
      <c r="EJ22" s="930"/>
      <c r="EK22" s="930"/>
      <c r="EL22" s="930"/>
      <c r="EM22" s="930"/>
      <c r="EN22" s="930"/>
      <c r="EO22" s="930"/>
      <c r="EP22" s="930"/>
      <c r="EQ22" s="930"/>
      <c r="ER22" s="930"/>
      <c r="ES22" s="930"/>
      <c r="ET22" s="930"/>
      <c r="EU22" s="930"/>
      <c r="EV22" s="930"/>
      <c r="EW22" s="930"/>
      <c r="EX22" s="930"/>
      <c r="EY22" s="930"/>
      <c r="EZ22" s="930"/>
      <c r="FA22" s="930"/>
      <c r="FB22" s="930"/>
      <c r="FC22" s="930"/>
      <c r="FD22" s="930"/>
      <c r="FE22" s="930"/>
      <c r="FF22" s="930"/>
      <c r="FG22" s="930"/>
      <c r="FH22" s="930"/>
      <c r="FI22" s="930"/>
      <c r="FJ22" s="930"/>
      <c r="FK22" s="930"/>
      <c r="FL22" s="930"/>
      <c r="FM22" s="930"/>
      <c r="FN22" s="930"/>
      <c r="FO22" s="930"/>
      <c r="FP22" s="930"/>
      <c r="FQ22" s="930"/>
      <c r="FR22" s="930"/>
      <c r="FS22" s="930"/>
      <c r="FT22" s="930"/>
      <c r="FU22" s="930"/>
      <c r="FV22" s="930"/>
      <c r="FW22" s="930"/>
      <c r="FX22" s="930"/>
      <c r="FY22" s="930"/>
      <c r="FZ22" s="930"/>
      <c r="GA22" s="930"/>
      <c r="GB22" s="930"/>
      <c r="GC22" s="930"/>
      <c r="GD22" s="930"/>
      <c r="GE22" s="930"/>
      <c r="GF22" s="930"/>
      <c r="GG22" s="930"/>
      <c r="GH22" s="930"/>
      <c r="GI22" s="930"/>
      <c r="GJ22" s="930"/>
      <c r="GK22" s="930"/>
      <c r="GL22" s="930"/>
      <c r="GM22" s="930"/>
      <c r="GN22" s="930"/>
      <c r="GO22" s="930"/>
      <c r="GP22" s="930"/>
      <c r="GQ22" s="930"/>
      <c r="GR22" s="930"/>
      <c r="GS22" s="930"/>
      <c r="GT22" s="930"/>
      <c r="GU22" s="930"/>
      <c r="GV22" s="930"/>
      <c r="GW22" s="930"/>
      <c r="GX22" s="930"/>
      <c r="GY22" s="930"/>
      <c r="GZ22" s="930"/>
      <c r="HA22" s="930"/>
      <c r="HB22" s="930"/>
      <c r="HC22" s="930"/>
      <c r="HD22" s="930"/>
      <c r="HE22" s="930"/>
      <c r="HF22" s="930"/>
      <c r="HG22" s="930"/>
      <c r="HH22" s="930"/>
      <c r="HI22" s="930"/>
      <c r="HJ22" s="930"/>
      <c r="HK22" s="930"/>
      <c r="HL22" s="930"/>
      <c r="HM22" s="930"/>
      <c r="HN22" s="930"/>
      <c r="HO22" s="930"/>
      <c r="HP22" s="930"/>
      <c r="HQ22" s="930"/>
      <c r="HR22" s="930"/>
      <c r="HS22" s="930"/>
      <c r="HT22" s="930"/>
      <c r="HU22" s="930"/>
      <c r="HV22" s="930"/>
      <c r="HW22" s="930"/>
      <c r="HX22" s="930"/>
      <c r="HY22" s="930"/>
      <c r="HZ22" s="930"/>
      <c r="IA22" s="930"/>
      <c r="IB22" s="930"/>
      <c r="IC22" s="930"/>
      <c r="ID22" s="930"/>
      <c r="IE22" s="930"/>
      <c r="IF22" s="930"/>
      <c r="IG22" s="930"/>
      <c r="IH22" s="930"/>
      <c r="II22" s="930"/>
      <c r="IJ22" s="930"/>
      <c r="IK22" s="930"/>
      <c r="IL22" s="930"/>
      <c r="IM22" s="930"/>
      <c r="IN22" s="930"/>
      <c r="IO22" s="930"/>
      <c r="IP22" s="930"/>
      <c r="IQ22" s="930"/>
      <c r="IR22" s="930"/>
      <c r="IS22" s="930"/>
      <c r="IT22" s="930"/>
      <c r="IU22" s="930"/>
      <c r="IV22" s="930"/>
    </row>
    <row r="23" spans="1:256">
      <c r="A23" s="935">
        <f t="shared" si="2"/>
        <v>10</v>
      </c>
      <c r="B23" s="931" t="s">
        <v>362</v>
      </c>
      <c r="C23" s="1128">
        <f t="shared" si="3"/>
        <v>-2893152.0833333335</v>
      </c>
      <c r="D23" s="1128">
        <f t="shared" si="5"/>
        <v>-1390643217.7766659</v>
      </c>
      <c r="E23" s="931">
        <v>31</v>
      </c>
      <c r="F23" s="869">
        <v>215</v>
      </c>
      <c r="G23" s="1129">
        <f t="shared" si="0"/>
        <v>0.58904109589041098</v>
      </c>
      <c r="H23" s="1128">
        <f t="shared" si="1"/>
        <v>-1704185.4737442925</v>
      </c>
      <c r="I23" s="1128">
        <f>I22+H23</f>
        <v>-1387108023.7241549</v>
      </c>
      <c r="J23" s="930"/>
      <c r="K23" s="930"/>
      <c r="L23" s="930"/>
      <c r="M23" s="930"/>
      <c r="N23" s="930"/>
      <c r="O23" s="930"/>
      <c r="P23" s="930"/>
      <c r="Q23" s="930"/>
      <c r="R23" s="930"/>
      <c r="S23" s="930"/>
      <c r="T23" s="930"/>
      <c r="U23" s="930"/>
      <c r="V23" s="930"/>
      <c r="W23" s="930"/>
      <c r="X23" s="930"/>
      <c r="Y23" s="930"/>
      <c r="Z23" s="930"/>
      <c r="AA23" s="930"/>
      <c r="AB23" s="930"/>
      <c r="AC23" s="930"/>
      <c r="AD23" s="930"/>
      <c r="AE23" s="930"/>
      <c r="AF23" s="930"/>
      <c r="AG23" s="930"/>
      <c r="AH23" s="930"/>
      <c r="AI23" s="930"/>
      <c r="AJ23" s="930"/>
      <c r="AK23" s="930"/>
      <c r="AL23" s="930"/>
      <c r="AM23" s="930"/>
      <c r="AN23" s="930"/>
      <c r="AO23" s="930"/>
      <c r="AP23" s="930"/>
      <c r="AQ23" s="930"/>
      <c r="AR23" s="930"/>
      <c r="AS23" s="930"/>
      <c r="AT23" s="930"/>
      <c r="AU23" s="930"/>
      <c r="AV23" s="930"/>
      <c r="AW23" s="930"/>
      <c r="AX23" s="930"/>
      <c r="AY23" s="930"/>
      <c r="AZ23" s="930"/>
      <c r="BA23" s="930"/>
      <c r="BB23" s="930"/>
      <c r="BC23" s="930"/>
      <c r="BD23" s="930"/>
      <c r="BE23" s="930"/>
      <c r="BF23" s="930"/>
      <c r="BG23" s="930"/>
      <c r="BH23" s="930"/>
      <c r="BI23" s="930"/>
      <c r="BJ23" s="930"/>
      <c r="BK23" s="930"/>
      <c r="BL23" s="930"/>
      <c r="BM23" s="930"/>
      <c r="BN23" s="930"/>
      <c r="BO23" s="930"/>
      <c r="BP23" s="930"/>
      <c r="BQ23" s="930"/>
      <c r="BR23" s="930"/>
      <c r="BS23" s="930"/>
      <c r="BT23" s="930"/>
      <c r="BU23" s="930"/>
      <c r="BV23" s="930"/>
      <c r="BW23" s="930"/>
      <c r="BX23" s="930"/>
      <c r="BY23" s="930"/>
      <c r="BZ23" s="930"/>
      <c r="CA23" s="930"/>
      <c r="CB23" s="930"/>
      <c r="CC23" s="930"/>
      <c r="CD23" s="930"/>
      <c r="CE23" s="930"/>
      <c r="CF23" s="930"/>
      <c r="CG23" s="930"/>
      <c r="CH23" s="930"/>
      <c r="CI23" s="930"/>
      <c r="CJ23" s="930"/>
      <c r="CK23" s="930"/>
      <c r="CL23" s="930"/>
      <c r="CM23" s="930"/>
      <c r="CN23" s="930"/>
      <c r="CO23" s="930"/>
      <c r="CP23" s="930"/>
      <c r="CQ23" s="930"/>
      <c r="CR23" s="930"/>
      <c r="CS23" s="930"/>
      <c r="CT23" s="930"/>
      <c r="CU23" s="930"/>
      <c r="CV23" s="930"/>
      <c r="CW23" s="930"/>
      <c r="CX23" s="930"/>
      <c r="CY23" s="930"/>
      <c r="CZ23" s="930"/>
      <c r="DA23" s="930"/>
      <c r="DB23" s="930"/>
      <c r="DC23" s="930"/>
      <c r="DD23" s="930"/>
      <c r="DE23" s="930"/>
      <c r="DF23" s="930"/>
      <c r="DG23" s="930"/>
      <c r="DH23" s="930"/>
      <c r="DI23" s="930"/>
      <c r="DJ23" s="930"/>
      <c r="DK23" s="930"/>
      <c r="DL23" s="930"/>
      <c r="DM23" s="930"/>
      <c r="DN23" s="930"/>
      <c r="DO23" s="930"/>
      <c r="DP23" s="930"/>
      <c r="DQ23" s="930"/>
      <c r="DR23" s="930"/>
      <c r="DS23" s="930"/>
      <c r="DT23" s="930"/>
      <c r="DU23" s="930"/>
      <c r="DV23" s="930"/>
      <c r="DW23" s="930"/>
      <c r="DX23" s="930"/>
      <c r="DY23" s="930"/>
      <c r="DZ23" s="930"/>
      <c r="EA23" s="930"/>
      <c r="EB23" s="930"/>
      <c r="EC23" s="930"/>
      <c r="ED23" s="930"/>
      <c r="EE23" s="930"/>
      <c r="EF23" s="930"/>
      <c r="EG23" s="930"/>
      <c r="EH23" s="930"/>
      <c r="EI23" s="930"/>
      <c r="EJ23" s="930"/>
      <c r="EK23" s="930"/>
      <c r="EL23" s="930"/>
      <c r="EM23" s="930"/>
      <c r="EN23" s="930"/>
      <c r="EO23" s="930"/>
      <c r="EP23" s="930"/>
      <c r="EQ23" s="930"/>
      <c r="ER23" s="930"/>
      <c r="ES23" s="930"/>
      <c r="ET23" s="930"/>
      <c r="EU23" s="930"/>
      <c r="EV23" s="930"/>
      <c r="EW23" s="930"/>
      <c r="EX23" s="930"/>
      <c r="EY23" s="930"/>
      <c r="EZ23" s="930"/>
      <c r="FA23" s="930"/>
      <c r="FB23" s="930"/>
      <c r="FC23" s="930"/>
      <c r="FD23" s="930"/>
      <c r="FE23" s="930"/>
      <c r="FF23" s="930"/>
      <c r="FG23" s="930"/>
      <c r="FH23" s="930"/>
      <c r="FI23" s="930"/>
      <c r="FJ23" s="930"/>
      <c r="FK23" s="930"/>
      <c r="FL23" s="930"/>
      <c r="FM23" s="930"/>
      <c r="FN23" s="930"/>
      <c r="FO23" s="930"/>
      <c r="FP23" s="930"/>
      <c r="FQ23" s="930"/>
      <c r="FR23" s="930"/>
      <c r="FS23" s="930"/>
      <c r="FT23" s="930"/>
      <c r="FU23" s="930"/>
      <c r="FV23" s="930"/>
      <c r="FW23" s="930"/>
      <c r="FX23" s="930"/>
      <c r="FY23" s="930"/>
      <c r="FZ23" s="930"/>
      <c r="GA23" s="930"/>
      <c r="GB23" s="930"/>
      <c r="GC23" s="930"/>
      <c r="GD23" s="930"/>
      <c r="GE23" s="930"/>
      <c r="GF23" s="930"/>
      <c r="GG23" s="930"/>
      <c r="GH23" s="930"/>
      <c r="GI23" s="930"/>
      <c r="GJ23" s="930"/>
      <c r="GK23" s="930"/>
      <c r="GL23" s="930"/>
      <c r="GM23" s="930"/>
      <c r="GN23" s="930"/>
      <c r="GO23" s="930"/>
      <c r="GP23" s="930"/>
      <c r="GQ23" s="930"/>
      <c r="GR23" s="930"/>
      <c r="GS23" s="930"/>
      <c r="GT23" s="930"/>
      <c r="GU23" s="930"/>
      <c r="GV23" s="930"/>
      <c r="GW23" s="930"/>
      <c r="GX23" s="930"/>
      <c r="GY23" s="930"/>
      <c r="GZ23" s="930"/>
      <c r="HA23" s="930"/>
      <c r="HB23" s="930"/>
      <c r="HC23" s="930"/>
      <c r="HD23" s="930"/>
      <c r="HE23" s="930"/>
      <c r="HF23" s="930"/>
      <c r="HG23" s="930"/>
      <c r="HH23" s="930"/>
      <c r="HI23" s="930"/>
      <c r="HJ23" s="930"/>
      <c r="HK23" s="930"/>
      <c r="HL23" s="930"/>
      <c r="HM23" s="930"/>
      <c r="HN23" s="930"/>
      <c r="HO23" s="930"/>
      <c r="HP23" s="930"/>
      <c r="HQ23" s="930"/>
      <c r="HR23" s="930"/>
      <c r="HS23" s="930"/>
      <c r="HT23" s="930"/>
      <c r="HU23" s="930"/>
      <c r="HV23" s="930"/>
      <c r="HW23" s="930"/>
      <c r="HX23" s="930"/>
      <c r="HY23" s="930"/>
      <c r="HZ23" s="930"/>
      <c r="IA23" s="930"/>
      <c r="IB23" s="930"/>
      <c r="IC23" s="930"/>
      <c r="ID23" s="930"/>
      <c r="IE23" s="930"/>
      <c r="IF23" s="930"/>
      <c r="IG23" s="930"/>
      <c r="IH23" s="930"/>
      <c r="II23" s="930"/>
      <c r="IJ23" s="930"/>
      <c r="IK23" s="930"/>
      <c r="IL23" s="930"/>
      <c r="IM23" s="930"/>
      <c r="IN23" s="930"/>
      <c r="IO23" s="930"/>
      <c r="IP23" s="930"/>
      <c r="IQ23" s="930"/>
      <c r="IR23" s="930"/>
      <c r="IS23" s="930"/>
      <c r="IT23" s="930"/>
      <c r="IU23" s="930"/>
      <c r="IV23" s="930"/>
    </row>
    <row r="24" spans="1:256">
      <c r="A24" s="935">
        <f t="shared" si="2"/>
        <v>11</v>
      </c>
      <c r="B24" s="931" t="s">
        <v>62</v>
      </c>
      <c r="C24" s="1128">
        <f t="shared" si="3"/>
        <v>-2893152.0833333335</v>
      </c>
      <c r="D24" s="1128">
        <f t="shared" si="5"/>
        <v>-1393536369.8599992</v>
      </c>
      <c r="E24" s="931">
        <v>30</v>
      </c>
      <c r="F24" s="869">
        <v>185</v>
      </c>
      <c r="G24" s="1129">
        <f t="shared" si="0"/>
        <v>0.50684931506849318</v>
      </c>
      <c r="H24" s="1128">
        <f t="shared" si="1"/>
        <v>-1466392.1518264841</v>
      </c>
      <c r="I24" s="1128">
        <f>I23+H24</f>
        <v>-1388574415.8759813</v>
      </c>
      <c r="J24" s="930"/>
      <c r="K24" s="930"/>
      <c r="L24" s="930"/>
      <c r="M24" s="930"/>
      <c r="N24" s="930"/>
      <c r="O24" s="930"/>
      <c r="P24" s="930"/>
      <c r="Q24" s="930"/>
      <c r="R24" s="930"/>
      <c r="S24" s="930"/>
      <c r="T24" s="930"/>
      <c r="U24" s="930"/>
      <c r="V24" s="930"/>
      <c r="W24" s="930"/>
      <c r="X24" s="930"/>
      <c r="Y24" s="930"/>
      <c r="Z24" s="930"/>
      <c r="AA24" s="930"/>
      <c r="AB24" s="930"/>
      <c r="AC24" s="930"/>
      <c r="AD24" s="930"/>
      <c r="AE24" s="930"/>
      <c r="AF24" s="930"/>
      <c r="AG24" s="930"/>
      <c r="AH24" s="930"/>
      <c r="AI24" s="930"/>
      <c r="AJ24" s="930"/>
      <c r="AK24" s="930"/>
      <c r="AL24" s="930"/>
      <c r="AM24" s="930"/>
      <c r="AN24" s="930"/>
      <c r="AO24" s="930"/>
      <c r="AP24" s="930"/>
      <c r="AQ24" s="930"/>
      <c r="AR24" s="930"/>
      <c r="AS24" s="930"/>
      <c r="AT24" s="930"/>
      <c r="AU24" s="930"/>
      <c r="AV24" s="930"/>
      <c r="AW24" s="930"/>
      <c r="AX24" s="930"/>
      <c r="AY24" s="930"/>
      <c r="AZ24" s="930"/>
      <c r="BA24" s="930"/>
      <c r="BB24" s="930"/>
      <c r="BC24" s="930"/>
      <c r="BD24" s="930"/>
      <c r="BE24" s="930"/>
      <c r="BF24" s="930"/>
      <c r="BG24" s="930"/>
      <c r="BH24" s="930"/>
      <c r="BI24" s="930"/>
      <c r="BJ24" s="930"/>
      <c r="BK24" s="930"/>
      <c r="BL24" s="930"/>
      <c r="BM24" s="930"/>
      <c r="BN24" s="930"/>
      <c r="BO24" s="930"/>
      <c r="BP24" s="930"/>
      <c r="BQ24" s="930"/>
      <c r="BR24" s="930"/>
      <c r="BS24" s="930"/>
      <c r="BT24" s="930"/>
      <c r="BU24" s="930"/>
      <c r="BV24" s="930"/>
      <c r="BW24" s="930"/>
      <c r="BX24" s="930"/>
      <c r="BY24" s="930"/>
      <c r="BZ24" s="930"/>
      <c r="CA24" s="930"/>
      <c r="CB24" s="930"/>
      <c r="CC24" s="930"/>
      <c r="CD24" s="930"/>
      <c r="CE24" s="930"/>
      <c r="CF24" s="930"/>
      <c r="CG24" s="930"/>
      <c r="CH24" s="930"/>
      <c r="CI24" s="930"/>
      <c r="CJ24" s="930"/>
      <c r="CK24" s="930"/>
      <c r="CL24" s="930"/>
      <c r="CM24" s="930"/>
      <c r="CN24" s="930"/>
      <c r="CO24" s="930"/>
      <c r="CP24" s="930"/>
      <c r="CQ24" s="930"/>
      <c r="CR24" s="930"/>
      <c r="CS24" s="930"/>
      <c r="CT24" s="930"/>
      <c r="CU24" s="930"/>
      <c r="CV24" s="930"/>
      <c r="CW24" s="930"/>
      <c r="CX24" s="930"/>
      <c r="CY24" s="930"/>
      <c r="CZ24" s="930"/>
      <c r="DA24" s="930"/>
      <c r="DB24" s="930"/>
      <c r="DC24" s="930"/>
      <c r="DD24" s="930"/>
      <c r="DE24" s="930"/>
      <c r="DF24" s="930"/>
      <c r="DG24" s="930"/>
      <c r="DH24" s="930"/>
      <c r="DI24" s="930"/>
      <c r="DJ24" s="930"/>
      <c r="DK24" s="930"/>
      <c r="DL24" s="930"/>
      <c r="DM24" s="930"/>
      <c r="DN24" s="930"/>
      <c r="DO24" s="930"/>
      <c r="DP24" s="930"/>
      <c r="DQ24" s="930"/>
      <c r="DR24" s="930"/>
      <c r="DS24" s="930"/>
      <c r="DT24" s="930"/>
      <c r="DU24" s="930"/>
      <c r="DV24" s="930"/>
      <c r="DW24" s="930"/>
      <c r="DX24" s="930"/>
      <c r="DY24" s="930"/>
      <c r="DZ24" s="930"/>
      <c r="EA24" s="930"/>
      <c r="EB24" s="930"/>
      <c r="EC24" s="930"/>
      <c r="ED24" s="930"/>
      <c r="EE24" s="930"/>
      <c r="EF24" s="930"/>
      <c r="EG24" s="930"/>
      <c r="EH24" s="930"/>
      <c r="EI24" s="930"/>
      <c r="EJ24" s="930"/>
      <c r="EK24" s="930"/>
      <c r="EL24" s="930"/>
      <c r="EM24" s="930"/>
      <c r="EN24" s="930"/>
      <c r="EO24" s="930"/>
      <c r="EP24" s="930"/>
      <c r="EQ24" s="930"/>
      <c r="ER24" s="930"/>
      <c r="ES24" s="930"/>
      <c r="ET24" s="930"/>
      <c r="EU24" s="930"/>
      <c r="EV24" s="930"/>
      <c r="EW24" s="930"/>
      <c r="EX24" s="930"/>
      <c r="EY24" s="930"/>
      <c r="EZ24" s="930"/>
      <c r="FA24" s="930"/>
      <c r="FB24" s="930"/>
      <c r="FC24" s="930"/>
      <c r="FD24" s="930"/>
      <c r="FE24" s="930"/>
      <c r="FF24" s="930"/>
      <c r="FG24" s="930"/>
      <c r="FH24" s="930"/>
      <c r="FI24" s="930"/>
      <c r="FJ24" s="930"/>
      <c r="FK24" s="930"/>
      <c r="FL24" s="930"/>
      <c r="FM24" s="930"/>
      <c r="FN24" s="930"/>
      <c r="FO24" s="930"/>
      <c r="FP24" s="930"/>
      <c r="FQ24" s="930"/>
      <c r="FR24" s="930"/>
      <c r="FS24" s="930"/>
      <c r="FT24" s="930"/>
      <c r="FU24" s="930"/>
      <c r="FV24" s="930"/>
      <c r="FW24" s="930"/>
      <c r="FX24" s="930"/>
      <c r="FY24" s="930"/>
      <c r="FZ24" s="930"/>
      <c r="GA24" s="930"/>
      <c r="GB24" s="930"/>
      <c r="GC24" s="930"/>
      <c r="GD24" s="930"/>
      <c r="GE24" s="930"/>
      <c r="GF24" s="930"/>
      <c r="GG24" s="930"/>
      <c r="GH24" s="930"/>
      <c r="GI24" s="930"/>
      <c r="GJ24" s="930"/>
      <c r="GK24" s="930"/>
      <c r="GL24" s="930"/>
      <c r="GM24" s="930"/>
      <c r="GN24" s="930"/>
      <c r="GO24" s="930"/>
      <c r="GP24" s="930"/>
      <c r="GQ24" s="930"/>
      <c r="GR24" s="930"/>
      <c r="GS24" s="930"/>
      <c r="GT24" s="930"/>
      <c r="GU24" s="930"/>
      <c r="GV24" s="930"/>
      <c r="GW24" s="930"/>
      <c r="GX24" s="930"/>
      <c r="GY24" s="930"/>
      <c r="GZ24" s="930"/>
      <c r="HA24" s="930"/>
      <c r="HB24" s="930"/>
      <c r="HC24" s="930"/>
      <c r="HD24" s="930"/>
      <c r="HE24" s="930"/>
      <c r="HF24" s="930"/>
      <c r="HG24" s="930"/>
      <c r="HH24" s="930"/>
      <c r="HI24" s="930"/>
      <c r="HJ24" s="930"/>
      <c r="HK24" s="930"/>
      <c r="HL24" s="930"/>
      <c r="HM24" s="930"/>
      <c r="HN24" s="930"/>
      <c r="HO24" s="930"/>
      <c r="HP24" s="930"/>
      <c r="HQ24" s="930"/>
      <c r="HR24" s="930"/>
      <c r="HS24" s="930"/>
      <c r="HT24" s="930"/>
      <c r="HU24" s="930"/>
      <c r="HV24" s="930"/>
      <c r="HW24" s="930"/>
      <c r="HX24" s="930"/>
      <c r="HY24" s="930"/>
      <c r="HZ24" s="930"/>
      <c r="IA24" s="930"/>
      <c r="IB24" s="930"/>
      <c r="IC24" s="930"/>
      <c r="ID24" s="930"/>
      <c r="IE24" s="930"/>
      <c r="IF24" s="930"/>
      <c r="IG24" s="930"/>
      <c r="IH24" s="930"/>
      <c r="II24" s="930"/>
      <c r="IJ24" s="930"/>
      <c r="IK24" s="930"/>
      <c r="IL24" s="930"/>
      <c r="IM24" s="930"/>
      <c r="IN24" s="930"/>
      <c r="IO24" s="930"/>
      <c r="IP24" s="930"/>
      <c r="IQ24" s="930"/>
      <c r="IR24" s="930"/>
      <c r="IS24" s="930"/>
      <c r="IT24" s="930"/>
      <c r="IU24" s="930"/>
      <c r="IV24" s="930"/>
    </row>
    <row r="25" spans="1:256">
      <c r="A25" s="935">
        <f t="shared" si="2"/>
        <v>12</v>
      </c>
      <c r="B25" s="931" t="s">
        <v>363</v>
      </c>
      <c r="C25" s="1128">
        <f t="shared" si="3"/>
        <v>-2893152.0833333335</v>
      </c>
      <c r="D25" s="1128">
        <f t="shared" si="5"/>
        <v>-1396429521.9433324</v>
      </c>
      <c r="E25" s="931">
        <v>31</v>
      </c>
      <c r="F25" s="869">
        <v>154</v>
      </c>
      <c r="G25" s="1129">
        <f t="shared" si="0"/>
        <v>0.42191780821917807</v>
      </c>
      <c r="H25" s="1128">
        <f t="shared" si="1"/>
        <v>-1220672.3858447489</v>
      </c>
      <c r="I25" s="1128">
        <f t="shared" si="4"/>
        <v>-1389795088.261826</v>
      </c>
      <c r="J25" s="930"/>
      <c r="K25" s="930"/>
      <c r="L25" s="930"/>
      <c r="M25" s="930"/>
      <c r="N25" s="930"/>
      <c r="O25" s="930"/>
      <c r="P25" s="930"/>
      <c r="Q25" s="930"/>
      <c r="R25" s="930"/>
      <c r="S25" s="930"/>
      <c r="T25" s="930"/>
      <c r="U25" s="930"/>
      <c r="V25" s="930"/>
      <c r="W25" s="930"/>
      <c r="X25" s="930"/>
      <c r="Y25" s="930"/>
      <c r="Z25" s="930"/>
      <c r="AA25" s="930"/>
      <c r="AB25" s="930"/>
      <c r="AC25" s="930"/>
      <c r="AD25" s="930"/>
      <c r="AE25" s="930"/>
      <c r="AF25" s="930"/>
      <c r="AG25" s="930"/>
      <c r="AH25" s="930"/>
      <c r="AI25" s="930"/>
      <c r="AJ25" s="930"/>
      <c r="AK25" s="930"/>
      <c r="AL25" s="930"/>
      <c r="AM25" s="930"/>
      <c r="AN25" s="930"/>
      <c r="AO25" s="930"/>
      <c r="AP25" s="930"/>
      <c r="AQ25" s="930"/>
      <c r="AR25" s="930"/>
      <c r="AS25" s="930"/>
      <c r="AT25" s="930"/>
      <c r="AU25" s="930"/>
      <c r="AV25" s="930"/>
      <c r="AW25" s="930"/>
      <c r="AX25" s="930"/>
      <c r="AY25" s="930"/>
      <c r="AZ25" s="930"/>
      <c r="BA25" s="930"/>
      <c r="BB25" s="930"/>
      <c r="BC25" s="930"/>
      <c r="BD25" s="930"/>
      <c r="BE25" s="930"/>
      <c r="BF25" s="930"/>
      <c r="BG25" s="930"/>
      <c r="BH25" s="930"/>
      <c r="BI25" s="930"/>
      <c r="BJ25" s="930"/>
      <c r="BK25" s="930"/>
      <c r="BL25" s="930"/>
      <c r="BM25" s="930"/>
      <c r="BN25" s="930"/>
      <c r="BO25" s="930"/>
      <c r="BP25" s="930"/>
      <c r="BQ25" s="930"/>
      <c r="BR25" s="930"/>
      <c r="BS25" s="930"/>
      <c r="BT25" s="930"/>
      <c r="BU25" s="930"/>
      <c r="BV25" s="930"/>
      <c r="BW25" s="930"/>
      <c r="BX25" s="930"/>
      <c r="BY25" s="930"/>
      <c r="BZ25" s="930"/>
      <c r="CA25" s="930"/>
      <c r="CB25" s="930"/>
      <c r="CC25" s="930"/>
      <c r="CD25" s="930"/>
      <c r="CE25" s="930"/>
      <c r="CF25" s="930"/>
      <c r="CG25" s="930"/>
      <c r="CH25" s="930"/>
      <c r="CI25" s="930"/>
      <c r="CJ25" s="930"/>
      <c r="CK25" s="930"/>
      <c r="CL25" s="930"/>
      <c r="CM25" s="930"/>
      <c r="CN25" s="930"/>
      <c r="CO25" s="930"/>
      <c r="CP25" s="930"/>
      <c r="CQ25" s="930"/>
      <c r="CR25" s="930"/>
      <c r="CS25" s="930"/>
      <c r="CT25" s="930"/>
      <c r="CU25" s="930"/>
      <c r="CV25" s="930"/>
      <c r="CW25" s="930"/>
      <c r="CX25" s="930"/>
      <c r="CY25" s="930"/>
      <c r="CZ25" s="930"/>
      <c r="DA25" s="930"/>
      <c r="DB25" s="930"/>
      <c r="DC25" s="930"/>
      <c r="DD25" s="930"/>
      <c r="DE25" s="930"/>
      <c r="DF25" s="930"/>
      <c r="DG25" s="930"/>
      <c r="DH25" s="930"/>
      <c r="DI25" s="930"/>
      <c r="DJ25" s="930"/>
      <c r="DK25" s="930"/>
      <c r="DL25" s="930"/>
      <c r="DM25" s="930"/>
      <c r="DN25" s="930"/>
      <c r="DO25" s="930"/>
      <c r="DP25" s="930"/>
      <c r="DQ25" s="930"/>
      <c r="DR25" s="930"/>
      <c r="DS25" s="930"/>
      <c r="DT25" s="930"/>
      <c r="DU25" s="930"/>
      <c r="DV25" s="930"/>
      <c r="DW25" s="930"/>
      <c r="DX25" s="930"/>
      <c r="DY25" s="930"/>
      <c r="DZ25" s="930"/>
      <c r="EA25" s="930"/>
      <c r="EB25" s="930"/>
      <c r="EC25" s="930"/>
      <c r="ED25" s="930"/>
      <c r="EE25" s="930"/>
      <c r="EF25" s="930"/>
      <c r="EG25" s="930"/>
      <c r="EH25" s="930"/>
      <c r="EI25" s="930"/>
      <c r="EJ25" s="930"/>
      <c r="EK25" s="930"/>
      <c r="EL25" s="930"/>
      <c r="EM25" s="930"/>
      <c r="EN25" s="930"/>
      <c r="EO25" s="930"/>
      <c r="EP25" s="930"/>
      <c r="EQ25" s="930"/>
      <c r="ER25" s="930"/>
      <c r="ES25" s="930"/>
      <c r="ET25" s="930"/>
      <c r="EU25" s="930"/>
      <c r="EV25" s="930"/>
      <c r="EW25" s="930"/>
      <c r="EX25" s="930"/>
      <c r="EY25" s="930"/>
      <c r="EZ25" s="930"/>
      <c r="FA25" s="930"/>
      <c r="FB25" s="930"/>
      <c r="FC25" s="930"/>
      <c r="FD25" s="930"/>
      <c r="FE25" s="930"/>
      <c r="FF25" s="930"/>
      <c r="FG25" s="930"/>
      <c r="FH25" s="930"/>
      <c r="FI25" s="930"/>
      <c r="FJ25" s="930"/>
      <c r="FK25" s="930"/>
      <c r="FL25" s="930"/>
      <c r="FM25" s="930"/>
      <c r="FN25" s="930"/>
      <c r="FO25" s="930"/>
      <c r="FP25" s="930"/>
      <c r="FQ25" s="930"/>
      <c r="FR25" s="930"/>
      <c r="FS25" s="930"/>
      <c r="FT25" s="930"/>
      <c r="FU25" s="930"/>
      <c r="FV25" s="930"/>
      <c r="FW25" s="930"/>
      <c r="FX25" s="930"/>
      <c r="FY25" s="930"/>
      <c r="FZ25" s="930"/>
      <c r="GA25" s="930"/>
      <c r="GB25" s="930"/>
      <c r="GC25" s="930"/>
      <c r="GD25" s="930"/>
      <c r="GE25" s="930"/>
      <c r="GF25" s="930"/>
      <c r="GG25" s="930"/>
      <c r="GH25" s="930"/>
      <c r="GI25" s="930"/>
      <c r="GJ25" s="930"/>
      <c r="GK25" s="930"/>
      <c r="GL25" s="930"/>
      <c r="GM25" s="930"/>
      <c r="GN25" s="930"/>
      <c r="GO25" s="930"/>
      <c r="GP25" s="930"/>
      <c r="GQ25" s="930"/>
      <c r="GR25" s="930"/>
      <c r="GS25" s="930"/>
      <c r="GT25" s="930"/>
      <c r="GU25" s="930"/>
      <c r="GV25" s="930"/>
      <c r="GW25" s="930"/>
      <c r="GX25" s="930"/>
      <c r="GY25" s="930"/>
      <c r="GZ25" s="930"/>
      <c r="HA25" s="930"/>
      <c r="HB25" s="930"/>
      <c r="HC25" s="930"/>
      <c r="HD25" s="930"/>
      <c r="HE25" s="930"/>
      <c r="HF25" s="930"/>
      <c r="HG25" s="930"/>
      <c r="HH25" s="930"/>
      <c r="HI25" s="930"/>
      <c r="HJ25" s="930"/>
      <c r="HK25" s="930"/>
      <c r="HL25" s="930"/>
      <c r="HM25" s="930"/>
      <c r="HN25" s="930"/>
      <c r="HO25" s="930"/>
      <c r="HP25" s="930"/>
      <c r="HQ25" s="930"/>
      <c r="HR25" s="930"/>
      <c r="HS25" s="930"/>
      <c r="HT25" s="930"/>
      <c r="HU25" s="930"/>
      <c r="HV25" s="930"/>
      <c r="HW25" s="930"/>
      <c r="HX25" s="930"/>
      <c r="HY25" s="930"/>
      <c r="HZ25" s="930"/>
      <c r="IA25" s="930"/>
      <c r="IB25" s="930"/>
      <c r="IC25" s="930"/>
      <c r="ID25" s="930"/>
      <c r="IE25" s="930"/>
      <c r="IF25" s="930"/>
      <c r="IG25" s="930"/>
      <c r="IH25" s="930"/>
      <c r="II25" s="930"/>
      <c r="IJ25" s="930"/>
      <c r="IK25" s="930"/>
      <c r="IL25" s="930"/>
      <c r="IM25" s="930"/>
      <c r="IN25" s="930"/>
      <c r="IO25" s="930"/>
      <c r="IP25" s="930"/>
      <c r="IQ25" s="930"/>
      <c r="IR25" s="930"/>
      <c r="IS25" s="930"/>
      <c r="IT25" s="930"/>
      <c r="IU25" s="930"/>
      <c r="IV25" s="930"/>
    </row>
    <row r="26" spans="1:256">
      <c r="A26" s="935">
        <f t="shared" si="2"/>
        <v>13</v>
      </c>
      <c r="B26" s="931" t="s">
        <v>364</v>
      </c>
      <c r="C26" s="1128">
        <f t="shared" si="3"/>
        <v>-2893152.0833333335</v>
      </c>
      <c r="D26" s="1128">
        <f t="shared" si="5"/>
        <v>-1399322674.0266657</v>
      </c>
      <c r="E26" s="931">
        <v>31</v>
      </c>
      <c r="F26" s="869">
        <v>123</v>
      </c>
      <c r="G26" s="1129">
        <f t="shared" si="0"/>
        <v>0.33698630136986302</v>
      </c>
      <c r="H26" s="1128">
        <f t="shared" si="1"/>
        <v>-974952.61986301374</v>
      </c>
      <c r="I26" s="1128">
        <f t="shared" si="4"/>
        <v>-1390770040.8816891</v>
      </c>
      <c r="J26" s="930"/>
      <c r="K26" s="930"/>
      <c r="L26" s="930"/>
      <c r="M26" s="930"/>
      <c r="N26" s="930"/>
      <c r="O26" s="930"/>
      <c r="P26" s="930"/>
      <c r="Q26" s="930"/>
      <c r="R26" s="930"/>
      <c r="S26" s="930"/>
      <c r="T26" s="930"/>
      <c r="U26" s="930"/>
      <c r="V26" s="930"/>
      <c r="W26" s="930"/>
      <c r="X26" s="930"/>
      <c r="Y26" s="930"/>
      <c r="Z26" s="930"/>
      <c r="AA26" s="930"/>
      <c r="AB26" s="930"/>
      <c r="AC26" s="930"/>
      <c r="AD26" s="930"/>
      <c r="AE26" s="930"/>
      <c r="AF26" s="930"/>
      <c r="AG26" s="930"/>
      <c r="AH26" s="930"/>
      <c r="AI26" s="930"/>
      <c r="AJ26" s="930"/>
      <c r="AK26" s="930"/>
      <c r="AL26" s="930"/>
      <c r="AM26" s="930"/>
      <c r="AN26" s="930"/>
      <c r="AO26" s="930"/>
      <c r="AP26" s="930"/>
      <c r="AQ26" s="930"/>
      <c r="AR26" s="930"/>
      <c r="AS26" s="930"/>
      <c r="AT26" s="930"/>
      <c r="AU26" s="930"/>
      <c r="AV26" s="930"/>
      <c r="AW26" s="930"/>
      <c r="AX26" s="930"/>
      <c r="AY26" s="930"/>
      <c r="AZ26" s="930"/>
      <c r="BA26" s="930"/>
      <c r="BB26" s="930"/>
      <c r="BC26" s="930"/>
      <c r="BD26" s="930"/>
      <c r="BE26" s="930"/>
      <c r="BF26" s="930"/>
      <c r="BG26" s="930"/>
      <c r="BH26" s="930"/>
      <c r="BI26" s="930"/>
      <c r="BJ26" s="930"/>
      <c r="BK26" s="930"/>
      <c r="BL26" s="930"/>
      <c r="BM26" s="930"/>
      <c r="BN26" s="930"/>
      <c r="BO26" s="930"/>
      <c r="BP26" s="930"/>
      <c r="BQ26" s="930"/>
      <c r="BR26" s="930"/>
      <c r="BS26" s="930"/>
      <c r="BT26" s="930"/>
      <c r="BU26" s="930"/>
      <c r="BV26" s="930"/>
      <c r="BW26" s="930"/>
      <c r="BX26" s="930"/>
      <c r="BY26" s="930"/>
      <c r="BZ26" s="930"/>
      <c r="CA26" s="930"/>
      <c r="CB26" s="930"/>
      <c r="CC26" s="930"/>
      <c r="CD26" s="930"/>
      <c r="CE26" s="930"/>
      <c r="CF26" s="930"/>
      <c r="CG26" s="930"/>
      <c r="CH26" s="930"/>
      <c r="CI26" s="930"/>
      <c r="CJ26" s="930"/>
      <c r="CK26" s="930"/>
      <c r="CL26" s="930"/>
      <c r="CM26" s="930"/>
      <c r="CN26" s="930"/>
      <c r="CO26" s="930"/>
      <c r="CP26" s="930"/>
      <c r="CQ26" s="930"/>
      <c r="CR26" s="930"/>
      <c r="CS26" s="930"/>
      <c r="CT26" s="930"/>
      <c r="CU26" s="930"/>
      <c r="CV26" s="930"/>
      <c r="CW26" s="930"/>
      <c r="CX26" s="930"/>
      <c r="CY26" s="930"/>
      <c r="CZ26" s="930"/>
      <c r="DA26" s="930"/>
      <c r="DB26" s="930"/>
      <c r="DC26" s="930"/>
      <c r="DD26" s="930"/>
      <c r="DE26" s="930"/>
      <c r="DF26" s="930"/>
      <c r="DG26" s="930"/>
      <c r="DH26" s="930"/>
      <c r="DI26" s="930"/>
      <c r="DJ26" s="930"/>
      <c r="DK26" s="930"/>
      <c r="DL26" s="930"/>
      <c r="DM26" s="930"/>
      <c r="DN26" s="930"/>
      <c r="DO26" s="930"/>
      <c r="DP26" s="930"/>
      <c r="DQ26" s="930"/>
      <c r="DR26" s="930"/>
      <c r="DS26" s="930"/>
      <c r="DT26" s="930"/>
      <c r="DU26" s="930"/>
      <c r="DV26" s="930"/>
      <c r="DW26" s="930"/>
      <c r="DX26" s="930"/>
      <c r="DY26" s="930"/>
      <c r="DZ26" s="930"/>
      <c r="EA26" s="930"/>
      <c r="EB26" s="930"/>
      <c r="EC26" s="930"/>
      <c r="ED26" s="930"/>
      <c r="EE26" s="930"/>
      <c r="EF26" s="930"/>
      <c r="EG26" s="930"/>
      <c r="EH26" s="930"/>
      <c r="EI26" s="930"/>
      <c r="EJ26" s="930"/>
      <c r="EK26" s="930"/>
      <c r="EL26" s="930"/>
      <c r="EM26" s="930"/>
      <c r="EN26" s="930"/>
      <c r="EO26" s="930"/>
      <c r="EP26" s="930"/>
      <c r="EQ26" s="930"/>
      <c r="ER26" s="930"/>
      <c r="ES26" s="930"/>
      <c r="ET26" s="930"/>
      <c r="EU26" s="930"/>
      <c r="EV26" s="930"/>
      <c r="EW26" s="930"/>
      <c r="EX26" s="930"/>
      <c r="EY26" s="930"/>
      <c r="EZ26" s="930"/>
      <c r="FA26" s="930"/>
      <c r="FB26" s="930"/>
      <c r="FC26" s="930"/>
      <c r="FD26" s="930"/>
      <c r="FE26" s="930"/>
      <c r="FF26" s="930"/>
      <c r="FG26" s="930"/>
      <c r="FH26" s="930"/>
      <c r="FI26" s="930"/>
      <c r="FJ26" s="930"/>
      <c r="FK26" s="930"/>
      <c r="FL26" s="930"/>
      <c r="FM26" s="930"/>
      <c r="FN26" s="930"/>
      <c r="FO26" s="930"/>
      <c r="FP26" s="930"/>
      <c r="FQ26" s="930"/>
      <c r="FR26" s="930"/>
      <c r="FS26" s="930"/>
      <c r="FT26" s="930"/>
      <c r="FU26" s="930"/>
      <c r="FV26" s="930"/>
      <c r="FW26" s="930"/>
      <c r="FX26" s="930"/>
      <c r="FY26" s="930"/>
      <c r="FZ26" s="930"/>
      <c r="GA26" s="930"/>
      <c r="GB26" s="930"/>
      <c r="GC26" s="930"/>
      <c r="GD26" s="930"/>
      <c r="GE26" s="930"/>
      <c r="GF26" s="930"/>
      <c r="GG26" s="930"/>
      <c r="GH26" s="930"/>
      <c r="GI26" s="930"/>
      <c r="GJ26" s="930"/>
      <c r="GK26" s="930"/>
      <c r="GL26" s="930"/>
      <c r="GM26" s="930"/>
      <c r="GN26" s="930"/>
      <c r="GO26" s="930"/>
      <c r="GP26" s="930"/>
      <c r="GQ26" s="930"/>
      <c r="GR26" s="930"/>
      <c r="GS26" s="930"/>
      <c r="GT26" s="930"/>
      <c r="GU26" s="930"/>
      <c r="GV26" s="930"/>
      <c r="GW26" s="930"/>
      <c r="GX26" s="930"/>
      <c r="GY26" s="930"/>
      <c r="GZ26" s="930"/>
      <c r="HA26" s="930"/>
      <c r="HB26" s="930"/>
      <c r="HC26" s="930"/>
      <c r="HD26" s="930"/>
      <c r="HE26" s="930"/>
      <c r="HF26" s="930"/>
      <c r="HG26" s="930"/>
      <c r="HH26" s="930"/>
      <c r="HI26" s="930"/>
      <c r="HJ26" s="930"/>
      <c r="HK26" s="930"/>
      <c r="HL26" s="930"/>
      <c r="HM26" s="930"/>
      <c r="HN26" s="930"/>
      <c r="HO26" s="930"/>
      <c r="HP26" s="930"/>
      <c r="HQ26" s="930"/>
      <c r="HR26" s="930"/>
      <c r="HS26" s="930"/>
      <c r="HT26" s="930"/>
      <c r="HU26" s="930"/>
      <c r="HV26" s="930"/>
      <c r="HW26" s="930"/>
      <c r="HX26" s="930"/>
      <c r="HY26" s="930"/>
      <c r="HZ26" s="930"/>
      <c r="IA26" s="930"/>
      <c r="IB26" s="930"/>
      <c r="IC26" s="930"/>
      <c r="ID26" s="930"/>
      <c r="IE26" s="930"/>
      <c r="IF26" s="930"/>
      <c r="IG26" s="930"/>
      <c r="IH26" s="930"/>
      <c r="II26" s="930"/>
      <c r="IJ26" s="930"/>
      <c r="IK26" s="930"/>
      <c r="IL26" s="930"/>
      <c r="IM26" s="930"/>
      <c r="IN26" s="930"/>
      <c r="IO26" s="930"/>
      <c r="IP26" s="930"/>
      <c r="IQ26" s="930"/>
      <c r="IR26" s="930"/>
      <c r="IS26" s="930"/>
      <c r="IT26" s="930"/>
      <c r="IU26" s="930"/>
      <c r="IV26" s="930"/>
    </row>
    <row r="27" spans="1:256">
      <c r="A27" s="935">
        <f t="shared" si="2"/>
        <v>14</v>
      </c>
      <c r="B27" s="931" t="s">
        <v>366</v>
      </c>
      <c r="C27" s="1128">
        <f t="shared" si="3"/>
        <v>-2893152.0833333335</v>
      </c>
      <c r="D27" s="1128">
        <f t="shared" si="5"/>
        <v>-1402215826.1099989</v>
      </c>
      <c r="E27" s="931">
        <v>30</v>
      </c>
      <c r="F27" s="869">
        <v>93</v>
      </c>
      <c r="G27" s="1129">
        <f t="shared" si="0"/>
        <v>0.25479452054794521</v>
      </c>
      <c r="H27" s="1128">
        <f t="shared" si="1"/>
        <v>-737159.29794520559</v>
      </c>
      <c r="I27" s="1128">
        <f t="shared" si="4"/>
        <v>-1391507200.1796343</v>
      </c>
      <c r="J27" s="930"/>
      <c r="K27" s="930"/>
      <c r="L27" s="930"/>
      <c r="M27" s="930"/>
      <c r="N27" s="930"/>
      <c r="O27" s="930"/>
      <c r="P27" s="930"/>
      <c r="Q27" s="930"/>
      <c r="R27" s="930"/>
      <c r="S27" s="930"/>
      <c r="T27" s="930"/>
      <c r="U27" s="930"/>
      <c r="V27" s="930"/>
      <c r="W27" s="930"/>
      <c r="X27" s="930"/>
      <c r="Y27" s="930"/>
      <c r="Z27" s="930"/>
      <c r="AA27" s="930"/>
      <c r="AB27" s="930"/>
      <c r="AC27" s="930"/>
      <c r="AD27" s="930"/>
      <c r="AE27" s="930"/>
      <c r="AF27" s="930"/>
      <c r="AG27" s="930"/>
      <c r="AH27" s="930"/>
      <c r="AI27" s="930"/>
      <c r="AJ27" s="930"/>
      <c r="AK27" s="930"/>
      <c r="AL27" s="930"/>
      <c r="AM27" s="930"/>
      <c r="AN27" s="930"/>
      <c r="AO27" s="930"/>
      <c r="AP27" s="930"/>
      <c r="AQ27" s="930"/>
      <c r="AR27" s="930"/>
      <c r="AS27" s="930"/>
      <c r="AT27" s="930"/>
      <c r="AU27" s="930"/>
      <c r="AV27" s="930"/>
      <c r="AW27" s="930"/>
      <c r="AX27" s="930"/>
      <c r="AY27" s="930"/>
      <c r="AZ27" s="930"/>
      <c r="BA27" s="930"/>
      <c r="BB27" s="930"/>
      <c r="BC27" s="930"/>
      <c r="BD27" s="930"/>
      <c r="BE27" s="930"/>
      <c r="BF27" s="930"/>
      <c r="BG27" s="930"/>
      <c r="BH27" s="930"/>
      <c r="BI27" s="930"/>
      <c r="BJ27" s="930"/>
      <c r="BK27" s="930"/>
      <c r="BL27" s="930"/>
      <c r="BM27" s="930"/>
      <c r="BN27" s="930"/>
      <c r="BO27" s="930"/>
      <c r="BP27" s="930"/>
      <c r="BQ27" s="930"/>
      <c r="BR27" s="930"/>
      <c r="BS27" s="930"/>
      <c r="BT27" s="930"/>
      <c r="BU27" s="930"/>
      <c r="BV27" s="930"/>
      <c r="BW27" s="930"/>
      <c r="BX27" s="930"/>
      <c r="BY27" s="930"/>
      <c r="BZ27" s="930"/>
      <c r="CA27" s="930"/>
      <c r="CB27" s="930"/>
      <c r="CC27" s="930"/>
      <c r="CD27" s="930"/>
      <c r="CE27" s="930"/>
      <c r="CF27" s="930"/>
      <c r="CG27" s="930"/>
      <c r="CH27" s="930"/>
      <c r="CI27" s="930"/>
      <c r="CJ27" s="930"/>
      <c r="CK27" s="930"/>
      <c r="CL27" s="930"/>
      <c r="CM27" s="930"/>
      <c r="CN27" s="930"/>
      <c r="CO27" s="930"/>
      <c r="CP27" s="930"/>
      <c r="CQ27" s="930"/>
      <c r="CR27" s="930"/>
      <c r="CS27" s="930"/>
      <c r="CT27" s="930"/>
      <c r="CU27" s="930"/>
      <c r="CV27" s="930"/>
      <c r="CW27" s="930"/>
      <c r="CX27" s="930"/>
      <c r="CY27" s="930"/>
      <c r="CZ27" s="930"/>
      <c r="DA27" s="930"/>
      <c r="DB27" s="930"/>
      <c r="DC27" s="930"/>
      <c r="DD27" s="930"/>
      <c r="DE27" s="930"/>
      <c r="DF27" s="930"/>
      <c r="DG27" s="930"/>
      <c r="DH27" s="930"/>
      <c r="DI27" s="930"/>
      <c r="DJ27" s="930"/>
      <c r="DK27" s="930"/>
      <c r="DL27" s="930"/>
      <c r="DM27" s="930"/>
      <c r="DN27" s="930"/>
      <c r="DO27" s="930"/>
      <c r="DP27" s="930"/>
      <c r="DQ27" s="930"/>
      <c r="DR27" s="930"/>
      <c r="DS27" s="930"/>
      <c r="DT27" s="930"/>
      <c r="DU27" s="930"/>
      <c r="DV27" s="930"/>
      <c r="DW27" s="930"/>
      <c r="DX27" s="930"/>
      <c r="DY27" s="930"/>
      <c r="DZ27" s="930"/>
      <c r="EA27" s="930"/>
      <c r="EB27" s="930"/>
      <c r="EC27" s="930"/>
      <c r="ED27" s="930"/>
      <c r="EE27" s="930"/>
      <c r="EF27" s="930"/>
      <c r="EG27" s="930"/>
      <c r="EH27" s="930"/>
      <c r="EI27" s="930"/>
      <c r="EJ27" s="930"/>
      <c r="EK27" s="930"/>
      <c r="EL27" s="930"/>
      <c r="EM27" s="930"/>
      <c r="EN27" s="930"/>
      <c r="EO27" s="930"/>
      <c r="EP27" s="930"/>
      <c r="EQ27" s="930"/>
      <c r="ER27" s="930"/>
      <c r="ES27" s="930"/>
      <c r="ET27" s="930"/>
      <c r="EU27" s="930"/>
      <c r="EV27" s="930"/>
      <c r="EW27" s="930"/>
      <c r="EX27" s="930"/>
      <c r="EY27" s="930"/>
      <c r="EZ27" s="930"/>
      <c r="FA27" s="930"/>
      <c r="FB27" s="930"/>
      <c r="FC27" s="930"/>
      <c r="FD27" s="930"/>
      <c r="FE27" s="930"/>
      <c r="FF27" s="930"/>
      <c r="FG27" s="930"/>
      <c r="FH27" s="930"/>
      <c r="FI27" s="930"/>
      <c r="FJ27" s="930"/>
      <c r="FK27" s="930"/>
      <c r="FL27" s="930"/>
      <c r="FM27" s="930"/>
      <c r="FN27" s="930"/>
      <c r="FO27" s="930"/>
      <c r="FP27" s="930"/>
      <c r="FQ27" s="930"/>
      <c r="FR27" s="930"/>
      <c r="FS27" s="930"/>
      <c r="FT27" s="930"/>
      <c r="FU27" s="930"/>
      <c r="FV27" s="930"/>
      <c r="FW27" s="930"/>
      <c r="FX27" s="930"/>
      <c r="FY27" s="930"/>
      <c r="FZ27" s="930"/>
      <c r="GA27" s="930"/>
      <c r="GB27" s="930"/>
      <c r="GC27" s="930"/>
      <c r="GD27" s="930"/>
      <c r="GE27" s="930"/>
      <c r="GF27" s="930"/>
      <c r="GG27" s="930"/>
      <c r="GH27" s="930"/>
      <c r="GI27" s="930"/>
      <c r="GJ27" s="930"/>
      <c r="GK27" s="930"/>
      <c r="GL27" s="930"/>
      <c r="GM27" s="930"/>
      <c r="GN27" s="930"/>
      <c r="GO27" s="930"/>
      <c r="GP27" s="930"/>
      <c r="GQ27" s="930"/>
      <c r="GR27" s="930"/>
      <c r="GS27" s="930"/>
      <c r="GT27" s="930"/>
      <c r="GU27" s="930"/>
      <c r="GV27" s="930"/>
      <c r="GW27" s="930"/>
      <c r="GX27" s="930"/>
      <c r="GY27" s="930"/>
      <c r="GZ27" s="930"/>
      <c r="HA27" s="930"/>
      <c r="HB27" s="930"/>
      <c r="HC27" s="930"/>
      <c r="HD27" s="930"/>
      <c r="HE27" s="930"/>
      <c r="HF27" s="930"/>
      <c r="HG27" s="930"/>
      <c r="HH27" s="930"/>
      <c r="HI27" s="930"/>
      <c r="HJ27" s="930"/>
      <c r="HK27" s="930"/>
      <c r="HL27" s="930"/>
      <c r="HM27" s="930"/>
      <c r="HN27" s="930"/>
      <c r="HO27" s="930"/>
      <c r="HP27" s="930"/>
      <c r="HQ27" s="930"/>
      <c r="HR27" s="930"/>
      <c r="HS27" s="930"/>
      <c r="HT27" s="930"/>
      <c r="HU27" s="930"/>
      <c r="HV27" s="930"/>
      <c r="HW27" s="930"/>
      <c r="HX27" s="930"/>
      <c r="HY27" s="930"/>
      <c r="HZ27" s="930"/>
      <c r="IA27" s="930"/>
      <c r="IB27" s="930"/>
      <c r="IC27" s="930"/>
      <c r="ID27" s="930"/>
      <c r="IE27" s="930"/>
      <c r="IF27" s="930"/>
      <c r="IG27" s="930"/>
      <c r="IH27" s="930"/>
      <c r="II27" s="930"/>
      <c r="IJ27" s="930"/>
      <c r="IK27" s="930"/>
      <c r="IL27" s="930"/>
      <c r="IM27" s="930"/>
      <c r="IN27" s="930"/>
      <c r="IO27" s="930"/>
      <c r="IP27" s="930"/>
      <c r="IQ27" s="930"/>
      <c r="IR27" s="930"/>
      <c r="IS27" s="930"/>
      <c r="IT27" s="930"/>
      <c r="IU27" s="930"/>
      <c r="IV27" s="930"/>
    </row>
    <row r="28" spans="1:256">
      <c r="A28" s="935">
        <f t="shared" si="2"/>
        <v>15</v>
      </c>
      <c r="B28" s="931" t="s">
        <v>569</v>
      </c>
      <c r="C28" s="1128">
        <f t="shared" si="3"/>
        <v>-2893152.0833333335</v>
      </c>
      <c r="D28" s="1128">
        <f t="shared" si="5"/>
        <v>-1405108978.1933322</v>
      </c>
      <c r="E28" s="931">
        <v>31</v>
      </c>
      <c r="F28" s="869">
        <v>62</v>
      </c>
      <c r="G28" s="1129">
        <f t="shared" si="0"/>
        <v>0.16986301369863013</v>
      </c>
      <c r="H28" s="1128">
        <f t="shared" si="1"/>
        <v>-491439.53196347033</v>
      </c>
      <c r="I28" s="1128">
        <f t="shared" si="4"/>
        <v>-1391998639.7115979</v>
      </c>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0"/>
      <c r="AY28" s="930"/>
      <c r="AZ28" s="930"/>
      <c r="BA28" s="930"/>
      <c r="BB28" s="930"/>
      <c r="BC28" s="930"/>
      <c r="BD28" s="930"/>
      <c r="BE28" s="930"/>
      <c r="BF28" s="930"/>
      <c r="BG28" s="930"/>
      <c r="BH28" s="930"/>
      <c r="BI28" s="930"/>
      <c r="BJ28" s="930"/>
      <c r="BK28" s="930"/>
      <c r="BL28" s="930"/>
      <c r="BM28" s="930"/>
      <c r="BN28" s="930"/>
      <c r="BO28" s="930"/>
      <c r="BP28" s="930"/>
      <c r="BQ28" s="930"/>
      <c r="BR28" s="930"/>
      <c r="BS28" s="930"/>
      <c r="BT28" s="930"/>
      <c r="BU28" s="930"/>
      <c r="BV28" s="930"/>
      <c r="BW28" s="930"/>
      <c r="BX28" s="930"/>
      <c r="BY28" s="930"/>
      <c r="BZ28" s="930"/>
      <c r="CA28" s="930"/>
      <c r="CB28" s="930"/>
      <c r="CC28" s="930"/>
      <c r="CD28" s="930"/>
      <c r="CE28" s="930"/>
      <c r="CF28" s="930"/>
      <c r="CG28" s="930"/>
      <c r="CH28" s="930"/>
      <c r="CI28" s="930"/>
      <c r="CJ28" s="930"/>
      <c r="CK28" s="930"/>
      <c r="CL28" s="930"/>
      <c r="CM28" s="930"/>
      <c r="CN28" s="930"/>
      <c r="CO28" s="930"/>
      <c r="CP28" s="930"/>
      <c r="CQ28" s="930"/>
      <c r="CR28" s="930"/>
      <c r="CS28" s="930"/>
      <c r="CT28" s="930"/>
      <c r="CU28" s="930"/>
      <c r="CV28" s="930"/>
      <c r="CW28" s="930"/>
      <c r="CX28" s="930"/>
      <c r="CY28" s="930"/>
      <c r="CZ28" s="930"/>
      <c r="DA28" s="930"/>
      <c r="DB28" s="930"/>
      <c r="DC28" s="930"/>
      <c r="DD28" s="930"/>
      <c r="DE28" s="930"/>
      <c r="DF28" s="930"/>
      <c r="DG28" s="930"/>
      <c r="DH28" s="930"/>
      <c r="DI28" s="930"/>
      <c r="DJ28" s="930"/>
      <c r="DK28" s="930"/>
      <c r="DL28" s="930"/>
      <c r="DM28" s="930"/>
      <c r="DN28" s="930"/>
      <c r="DO28" s="930"/>
      <c r="DP28" s="930"/>
      <c r="DQ28" s="930"/>
      <c r="DR28" s="930"/>
      <c r="DS28" s="930"/>
      <c r="DT28" s="930"/>
      <c r="DU28" s="930"/>
      <c r="DV28" s="930"/>
      <c r="DW28" s="930"/>
      <c r="DX28" s="930"/>
      <c r="DY28" s="930"/>
      <c r="DZ28" s="930"/>
      <c r="EA28" s="930"/>
      <c r="EB28" s="930"/>
      <c r="EC28" s="930"/>
      <c r="ED28" s="930"/>
      <c r="EE28" s="930"/>
      <c r="EF28" s="930"/>
      <c r="EG28" s="930"/>
      <c r="EH28" s="930"/>
      <c r="EI28" s="930"/>
      <c r="EJ28" s="930"/>
      <c r="EK28" s="930"/>
      <c r="EL28" s="930"/>
      <c r="EM28" s="930"/>
      <c r="EN28" s="930"/>
      <c r="EO28" s="930"/>
      <c r="EP28" s="930"/>
      <c r="EQ28" s="930"/>
      <c r="ER28" s="930"/>
      <c r="ES28" s="930"/>
      <c r="ET28" s="930"/>
      <c r="EU28" s="930"/>
      <c r="EV28" s="930"/>
      <c r="EW28" s="930"/>
      <c r="EX28" s="930"/>
      <c r="EY28" s="930"/>
      <c r="EZ28" s="930"/>
      <c r="FA28" s="930"/>
      <c r="FB28" s="930"/>
      <c r="FC28" s="930"/>
      <c r="FD28" s="930"/>
      <c r="FE28" s="930"/>
      <c r="FF28" s="930"/>
      <c r="FG28" s="930"/>
      <c r="FH28" s="930"/>
      <c r="FI28" s="930"/>
      <c r="FJ28" s="930"/>
      <c r="FK28" s="930"/>
      <c r="FL28" s="930"/>
      <c r="FM28" s="930"/>
      <c r="FN28" s="930"/>
      <c r="FO28" s="930"/>
      <c r="FP28" s="930"/>
      <c r="FQ28" s="930"/>
      <c r="FR28" s="930"/>
      <c r="FS28" s="930"/>
      <c r="FT28" s="930"/>
      <c r="FU28" s="930"/>
      <c r="FV28" s="930"/>
      <c r="FW28" s="930"/>
      <c r="FX28" s="930"/>
      <c r="FY28" s="930"/>
      <c r="FZ28" s="930"/>
      <c r="GA28" s="930"/>
      <c r="GB28" s="930"/>
      <c r="GC28" s="930"/>
      <c r="GD28" s="930"/>
      <c r="GE28" s="930"/>
      <c r="GF28" s="930"/>
      <c r="GG28" s="930"/>
      <c r="GH28" s="930"/>
      <c r="GI28" s="930"/>
      <c r="GJ28" s="930"/>
      <c r="GK28" s="930"/>
      <c r="GL28" s="930"/>
      <c r="GM28" s="930"/>
      <c r="GN28" s="930"/>
      <c r="GO28" s="930"/>
      <c r="GP28" s="930"/>
      <c r="GQ28" s="930"/>
      <c r="GR28" s="930"/>
      <c r="GS28" s="930"/>
      <c r="GT28" s="930"/>
      <c r="GU28" s="930"/>
      <c r="GV28" s="930"/>
      <c r="GW28" s="930"/>
      <c r="GX28" s="930"/>
      <c r="GY28" s="930"/>
      <c r="GZ28" s="930"/>
      <c r="HA28" s="930"/>
      <c r="HB28" s="930"/>
      <c r="HC28" s="930"/>
      <c r="HD28" s="930"/>
      <c r="HE28" s="930"/>
      <c r="HF28" s="930"/>
      <c r="HG28" s="930"/>
      <c r="HH28" s="930"/>
      <c r="HI28" s="930"/>
      <c r="HJ28" s="930"/>
      <c r="HK28" s="930"/>
      <c r="HL28" s="930"/>
      <c r="HM28" s="930"/>
      <c r="HN28" s="930"/>
      <c r="HO28" s="930"/>
      <c r="HP28" s="930"/>
      <c r="HQ28" s="930"/>
      <c r="HR28" s="930"/>
      <c r="HS28" s="930"/>
      <c r="HT28" s="930"/>
      <c r="HU28" s="930"/>
      <c r="HV28" s="930"/>
      <c r="HW28" s="930"/>
      <c r="HX28" s="930"/>
      <c r="HY28" s="930"/>
      <c r="HZ28" s="930"/>
      <c r="IA28" s="930"/>
      <c r="IB28" s="930"/>
      <c r="IC28" s="930"/>
      <c r="ID28" s="930"/>
      <c r="IE28" s="930"/>
      <c r="IF28" s="930"/>
      <c r="IG28" s="930"/>
      <c r="IH28" s="930"/>
      <c r="II28" s="930"/>
      <c r="IJ28" s="930"/>
      <c r="IK28" s="930"/>
      <c r="IL28" s="930"/>
      <c r="IM28" s="930"/>
      <c r="IN28" s="930"/>
      <c r="IO28" s="930"/>
      <c r="IP28" s="930"/>
      <c r="IQ28" s="930"/>
      <c r="IR28" s="930"/>
      <c r="IS28" s="930"/>
      <c r="IT28" s="930"/>
      <c r="IU28" s="930"/>
      <c r="IV28" s="930"/>
    </row>
    <row r="29" spans="1:256">
      <c r="A29" s="935">
        <f t="shared" si="2"/>
        <v>16</v>
      </c>
      <c r="B29" s="931" t="s">
        <v>570</v>
      </c>
      <c r="C29" s="1128">
        <f t="shared" si="3"/>
        <v>-2893152.0833333335</v>
      </c>
      <c r="D29" s="1128">
        <f t="shared" si="5"/>
        <v>-1408002130.2766654</v>
      </c>
      <c r="E29" s="931">
        <v>30</v>
      </c>
      <c r="F29" s="869">
        <v>32</v>
      </c>
      <c r="G29" s="1129">
        <f t="shared" si="0"/>
        <v>8.7671232876712329E-2</v>
      </c>
      <c r="H29" s="1128">
        <f t="shared" si="1"/>
        <v>-253646.21004566213</v>
      </c>
      <c r="I29" s="1128">
        <f t="shared" si="4"/>
        <v>-1392252285.9216435</v>
      </c>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0"/>
      <c r="AY29" s="930"/>
      <c r="AZ29" s="930"/>
      <c r="BA29" s="930"/>
      <c r="BB29" s="930"/>
      <c r="BC29" s="930"/>
      <c r="BD29" s="930"/>
      <c r="BE29" s="930"/>
      <c r="BF29" s="930"/>
      <c r="BG29" s="930"/>
      <c r="BH29" s="930"/>
      <c r="BI29" s="930"/>
      <c r="BJ29" s="930"/>
      <c r="BK29" s="930"/>
      <c r="BL29" s="930"/>
      <c r="BM29" s="930"/>
      <c r="BN29" s="930"/>
      <c r="BO29" s="930"/>
      <c r="BP29" s="930"/>
      <c r="BQ29" s="930"/>
      <c r="BR29" s="930"/>
      <c r="BS29" s="930"/>
      <c r="BT29" s="930"/>
      <c r="BU29" s="930"/>
      <c r="BV29" s="930"/>
      <c r="BW29" s="930"/>
      <c r="BX29" s="930"/>
      <c r="BY29" s="930"/>
      <c r="BZ29" s="930"/>
      <c r="CA29" s="930"/>
      <c r="CB29" s="930"/>
      <c r="CC29" s="930"/>
      <c r="CD29" s="930"/>
      <c r="CE29" s="930"/>
      <c r="CF29" s="930"/>
      <c r="CG29" s="930"/>
      <c r="CH29" s="930"/>
      <c r="CI29" s="930"/>
      <c r="CJ29" s="930"/>
      <c r="CK29" s="930"/>
      <c r="CL29" s="930"/>
      <c r="CM29" s="930"/>
      <c r="CN29" s="930"/>
      <c r="CO29" s="930"/>
      <c r="CP29" s="930"/>
      <c r="CQ29" s="930"/>
      <c r="CR29" s="930"/>
      <c r="CS29" s="930"/>
      <c r="CT29" s="930"/>
      <c r="CU29" s="930"/>
      <c r="CV29" s="930"/>
      <c r="CW29" s="930"/>
      <c r="CX29" s="930"/>
      <c r="CY29" s="930"/>
      <c r="CZ29" s="930"/>
      <c r="DA29" s="930"/>
      <c r="DB29" s="930"/>
      <c r="DC29" s="930"/>
      <c r="DD29" s="930"/>
      <c r="DE29" s="930"/>
      <c r="DF29" s="930"/>
      <c r="DG29" s="930"/>
      <c r="DH29" s="930"/>
      <c r="DI29" s="930"/>
      <c r="DJ29" s="930"/>
      <c r="DK29" s="930"/>
      <c r="DL29" s="930"/>
      <c r="DM29" s="930"/>
      <c r="DN29" s="930"/>
      <c r="DO29" s="930"/>
      <c r="DP29" s="930"/>
      <c r="DQ29" s="930"/>
      <c r="DR29" s="930"/>
      <c r="DS29" s="930"/>
      <c r="DT29" s="930"/>
      <c r="DU29" s="930"/>
      <c r="DV29" s="930"/>
      <c r="DW29" s="930"/>
      <c r="DX29" s="930"/>
      <c r="DY29" s="930"/>
      <c r="DZ29" s="930"/>
      <c r="EA29" s="930"/>
      <c r="EB29" s="930"/>
      <c r="EC29" s="930"/>
      <c r="ED29" s="930"/>
      <c r="EE29" s="930"/>
      <c r="EF29" s="930"/>
      <c r="EG29" s="930"/>
      <c r="EH29" s="930"/>
      <c r="EI29" s="930"/>
      <c r="EJ29" s="930"/>
      <c r="EK29" s="930"/>
      <c r="EL29" s="930"/>
      <c r="EM29" s="930"/>
      <c r="EN29" s="930"/>
      <c r="EO29" s="930"/>
      <c r="EP29" s="930"/>
      <c r="EQ29" s="930"/>
      <c r="ER29" s="930"/>
      <c r="ES29" s="930"/>
      <c r="ET29" s="930"/>
      <c r="EU29" s="930"/>
      <c r="EV29" s="930"/>
      <c r="EW29" s="930"/>
      <c r="EX29" s="930"/>
      <c r="EY29" s="930"/>
      <c r="EZ29" s="930"/>
      <c r="FA29" s="930"/>
      <c r="FB29" s="930"/>
      <c r="FC29" s="930"/>
      <c r="FD29" s="930"/>
      <c r="FE29" s="930"/>
      <c r="FF29" s="930"/>
      <c r="FG29" s="930"/>
      <c r="FH29" s="930"/>
      <c r="FI29" s="930"/>
      <c r="FJ29" s="930"/>
      <c r="FK29" s="930"/>
      <c r="FL29" s="930"/>
      <c r="FM29" s="930"/>
      <c r="FN29" s="930"/>
      <c r="FO29" s="930"/>
      <c r="FP29" s="930"/>
      <c r="FQ29" s="930"/>
      <c r="FR29" s="930"/>
      <c r="FS29" s="930"/>
      <c r="FT29" s="930"/>
      <c r="FU29" s="930"/>
      <c r="FV29" s="930"/>
      <c r="FW29" s="930"/>
      <c r="FX29" s="930"/>
      <c r="FY29" s="930"/>
      <c r="FZ29" s="930"/>
      <c r="GA29" s="930"/>
      <c r="GB29" s="930"/>
      <c r="GC29" s="930"/>
      <c r="GD29" s="930"/>
      <c r="GE29" s="930"/>
      <c r="GF29" s="930"/>
      <c r="GG29" s="930"/>
      <c r="GH29" s="930"/>
      <c r="GI29" s="930"/>
      <c r="GJ29" s="930"/>
      <c r="GK29" s="930"/>
      <c r="GL29" s="930"/>
      <c r="GM29" s="930"/>
      <c r="GN29" s="930"/>
      <c r="GO29" s="930"/>
      <c r="GP29" s="930"/>
      <c r="GQ29" s="930"/>
      <c r="GR29" s="930"/>
      <c r="GS29" s="930"/>
      <c r="GT29" s="930"/>
      <c r="GU29" s="930"/>
      <c r="GV29" s="930"/>
      <c r="GW29" s="930"/>
      <c r="GX29" s="930"/>
      <c r="GY29" s="930"/>
      <c r="GZ29" s="930"/>
      <c r="HA29" s="930"/>
      <c r="HB29" s="930"/>
      <c r="HC29" s="930"/>
      <c r="HD29" s="930"/>
      <c r="HE29" s="930"/>
      <c r="HF29" s="930"/>
      <c r="HG29" s="930"/>
      <c r="HH29" s="930"/>
      <c r="HI29" s="930"/>
      <c r="HJ29" s="930"/>
      <c r="HK29" s="930"/>
      <c r="HL29" s="930"/>
      <c r="HM29" s="930"/>
      <c r="HN29" s="930"/>
      <c r="HO29" s="930"/>
      <c r="HP29" s="930"/>
      <c r="HQ29" s="930"/>
      <c r="HR29" s="930"/>
      <c r="HS29" s="930"/>
      <c r="HT29" s="930"/>
      <c r="HU29" s="930"/>
      <c r="HV29" s="930"/>
      <c r="HW29" s="930"/>
      <c r="HX29" s="930"/>
      <c r="HY29" s="930"/>
      <c r="HZ29" s="930"/>
      <c r="IA29" s="930"/>
      <c r="IB29" s="930"/>
      <c r="IC29" s="930"/>
      <c r="ID29" s="930"/>
      <c r="IE29" s="930"/>
      <c r="IF29" s="930"/>
      <c r="IG29" s="930"/>
      <c r="IH29" s="930"/>
      <c r="II29" s="930"/>
      <c r="IJ29" s="930"/>
      <c r="IK29" s="930"/>
      <c r="IL29" s="930"/>
      <c r="IM29" s="930"/>
      <c r="IN29" s="930"/>
      <c r="IO29" s="930"/>
      <c r="IP29" s="930"/>
      <c r="IQ29" s="930"/>
      <c r="IR29" s="930"/>
      <c r="IS29" s="930"/>
      <c r="IT29" s="930"/>
      <c r="IU29" s="930"/>
      <c r="IV29" s="930"/>
    </row>
    <row r="30" spans="1:256">
      <c r="A30" s="935">
        <f t="shared" si="2"/>
        <v>17</v>
      </c>
      <c r="B30" s="931" t="s">
        <v>365</v>
      </c>
      <c r="C30" s="1128">
        <f t="shared" si="3"/>
        <v>-2893152.0833333335</v>
      </c>
      <c r="D30" s="1128">
        <f t="shared" si="5"/>
        <v>-1410895282.3599987</v>
      </c>
      <c r="E30" s="931">
        <v>31</v>
      </c>
      <c r="F30" s="869">
        <f>F29-E30</f>
        <v>1</v>
      </c>
      <c r="G30" s="1129">
        <f t="shared" si="0"/>
        <v>2.7397260273972603E-3</v>
      </c>
      <c r="H30" s="1128">
        <f t="shared" si="1"/>
        <v>-7926.4440639269415</v>
      </c>
      <c r="I30" s="1128">
        <f t="shared" si="4"/>
        <v>-1392260212.3657074</v>
      </c>
      <c r="J30" s="930"/>
      <c r="K30" s="930"/>
      <c r="L30" s="930"/>
      <c r="M30" s="930"/>
      <c r="N30" s="930"/>
      <c r="O30" s="930"/>
      <c r="P30" s="930"/>
      <c r="Q30" s="930"/>
      <c r="R30" s="930"/>
      <c r="S30" s="930"/>
      <c r="T30" s="930"/>
      <c r="U30" s="930"/>
      <c r="V30" s="930"/>
      <c r="W30" s="930"/>
      <c r="X30" s="930"/>
      <c r="Y30" s="930"/>
      <c r="Z30" s="930"/>
      <c r="AA30" s="930"/>
      <c r="AB30" s="930"/>
      <c r="AC30" s="930"/>
      <c r="AD30" s="930"/>
      <c r="AE30" s="930"/>
      <c r="AF30" s="930"/>
      <c r="AG30" s="930"/>
      <c r="AH30" s="930"/>
      <c r="AI30" s="930"/>
      <c r="AJ30" s="930"/>
      <c r="AK30" s="930"/>
      <c r="AL30" s="930"/>
      <c r="AM30" s="930"/>
      <c r="AN30" s="930"/>
      <c r="AO30" s="930"/>
      <c r="AP30" s="930"/>
      <c r="AQ30" s="930"/>
      <c r="AR30" s="930"/>
      <c r="AS30" s="930"/>
      <c r="AT30" s="930"/>
      <c r="AU30" s="930"/>
      <c r="AV30" s="930"/>
      <c r="AW30" s="930"/>
      <c r="AX30" s="930"/>
      <c r="AY30" s="930"/>
      <c r="AZ30" s="930"/>
      <c r="BA30" s="930"/>
      <c r="BB30" s="930"/>
      <c r="BC30" s="930"/>
      <c r="BD30" s="930"/>
      <c r="BE30" s="930"/>
      <c r="BF30" s="930"/>
      <c r="BG30" s="930"/>
      <c r="BH30" s="930"/>
      <c r="BI30" s="930"/>
      <c r="BJ30" s="930"/>
      <c r="BK30" s="930"/>
      <c r="BL30" s="930"/>
      <c r="BM30" s="930"/>
      <c r="BN30" s="930"/>
      <c r="BO30" s="930"/>
      <c r="BP30" s="930"/>
      <c r="BQ30" s="930"/>
      <c r="BR30" s="930"/>
      <c r="BS30" s="930"/>
      <c r="BT30" s="930"/>
      <c r="BU30" s="930"/>
      <c r="BV30" s="930"/>
      <c r="BW30" s="930"/>
      <c r="BX30" s="930"/>
      <c r="BY30" s="930"/>
      <c r="BZ30" s="930"/>
      <c r="CA30" s="930"/>
      <c r="CB30" s="930"/>
      <c r="CC30" s="930"/>
      <c r="CD30" s="930"/>
      <c r="CE30" s="930"/>
      <c r="CF30" s="930"/>
      <c r="CG30" s="930"/>
      <c r="CH30" s="930"/>
      <c r="CI30" s="930"/>
      <c r="CJ30" s="930"/>
      <c r="CK30" s="930"/>
      <c r="CL30" s="930"/>
      <c r="CM30" s="930"/>
      <c r="CN30" s="930"/>
      <c r="CO30" s="930"/>
      <c r="CP30" s="930"/>
      <c r="CQ30" s="930"/>
      <c r="CR30" s="930"/>
      <c r="CS30" s="930"/>
      <c r="CT30" s="930"/>
      <c r="CU30" s="930"/>
      <c r="CV30" s="930"/>
      <c r="CW30" s="930"/>
      <c r="CX30" s="930"/>
      <c r="CY30" s="930"/>
      <c r="CZ30" s="930"/>
      <c r="DA30" s="930"/>
      <c r="DB30" s="930"/>
      <c r="DC30" s="930"/>
      <c r="DD30" s="930"/>
      <c r="DE30" s="930"/>
      <c r="DF30" s="930"/>
      <c r="DG30" s="930"/>
      <c r="DH30" s="930"/>
      <c r="DI30" s="930"/>
      <c r="DJ30" s="930"/>
      <c r="DK30" s="930"/>
      <c r="DL30" s="930"/>
      <c r="DM30" s="930"/>
      <c r="DN30" s="930"/>
      <c r="DO30" s="930"/>
      <c r="DP30" s="930"/>
      <c r="DQ30" s="930"/>
      <c r="DR30" s="930"/>
      <c r="DS30" s="930"/>
      <c r="DT30" s="930"/>
      <c r="DU30" s="930"/>
      <c r="DV30" s="930"/>
      <c r="DW30" s="930"/>
      <c r="DX30" s="930"/>
      <c r="DY30" s="930"/>
      <c r="DZ30" s="930"/>
      <c r="EA30" s="930"/>
      <c r="EB30" s="930"/>
      <c r="EC30" s="930"/>
      <c r="ED30" s="930"/>
      <c r="EE30" s="930"/>
      <c r="EF30" s="930"/>
      <c r="EG30" s="930"/>
      <c r="EH30" s="930"/>
      <c r="EI30" s="930"/>
      <c r="EJ30" s="930"/>
      <c r="EK30" s="930"/>
      <c r="EL30" s="930"/>
      <c r="EM30" s="930"/>
      <c r="EN30" s="930"/>
      <c r="EO30" s="930"/>
      <c r="EP30" s="930"/>
      <c r="EQ30" s="930"/>
      <c r="ER30" s="930"/>
      <c r="ES30" s="930"/>
      <c r="ET30" s="930"/>
      <c r="EU30" s="930"/>
      <c r="EV30" s="930"/>
      <c r="EW30" s="930"/>
      <c r="EX30" s="930"/>
      <c r="EY30" s="930"/>
      <c r="EZ30" s="930"/>
      <c r="FA30" s="930"/>
      <c r="FB30" s="930"/>
      <c r="FC30" s="930"/>
      <c r="FD30" s="930"/>
      <c r="FE30" s="930"/>
      <c r="FF30" s="930"/>
      <c r="FG30" s="930"/>
      <c r="FH30" s="930"/>
      <c r="FI30" s="930"/>
      <c r="FJ30" s="930"/>
      <c r="FK30" s="930"/>
      <c r="FL30" s="930"/>
      <c r="FM30" s="930"/>
      <c r="FN30" s="930"/>
      <c r="FO30" s="930"/>
      <c r="FP30" s="930"/>
      <c r="FQ30" s="930"/>
      <c r="FR30" s="930"/>
      <c r="FS30" s="930"/>
      <c r="FT30" s="930"/>
      <c r="FU30" s="930"/>
      <c r="FV30" s="930"/>
      <c r="FW30" s="930"/>
      <c r="FX30" s="930"/>
      <c r="FY30" s="930"/>
      <c r="FZ30" s="930"/>
      <c r="GA30" s="930"/>
      <c r="GB30" s="930"/>
      <c r="GC30" s="930"/>
      <c r="GD30" s="930"/>
      <c r="GE30" s="930"/>
      <c r="GF30" s="930"/>
      <c r="GG30" s="930"/>
      <c r="GH30" s="930"/>
      <c r="GI30" s="930"/>
      <c r="GJ30" s="930"/>
      <c r="GK30" s="930"/>
      <c r="GL30" s="930"/>
      <c r="GM30" s="930"/>
      <c r="GN30" s="930"/>
      <c r="GO30" s="930"/>
      <c r="GP30" s="930"/>
      <c r="GQ30" s="930"/>
      <c r="GR30" s="930"/>
      <c r="GS30" s="930"/>
      <c r="GT30" s="930"/>
      <c r="GU30" s="930"/>
      <c r="GV30" s="930"/>
      <c r="GW30" s="930"/>
      <c r="GX30" s="930"/>
      <c r="GY30" s="930"/>
      <c r="GZ30" s="930"/>
      <c r="HA30" s="930"/>
      <c r="HB30" s="930"/>
      <c r="HC30" s="930"/>
      <c r="HD30" s="930"/>
      <c r="HE30" s="930"/>
      <c r="HF30" s="930"/>
      <c r="HG30" s="930"/>
      <c r="HH30" s="930"/>
      <c r="HI30" s="930"/>
      <c r="HJ30" s="930"/>
      <c r="HK30" s="930"/>
      <c r="HL30" s="930"/>
      <c r="HM30" s="930"/>
      <c r="HN30" s="930"/>
      <c r="HO30" s="930"/>
      <c r="HP30" s="930"/>
      <c r="HQ30" s="930"/>
      <c r="HR30" s="930"/>
      <c r="HS30" s="930"/>
      <c r="HT30" s="930"/>
      <c r="HU30" s="930"/>
      <c r="HV30" s="930"/>
      <c r="HW30" s="930"/>
      <c r="HX30" s="930"/>
      <c r="HY30" s="930"/>
      <c r="HZ30" s="930"/>
      <c r="IA30" s="930"/>
      <c r="IB30" s="930"/>
      <c r="IC30" s="930"/>
      <c r="ID30" s="930"/>
      <c r="IE30" s="930"/>
      <c r="IF30" s="930"/>
      <c r="IG30" s="930"/>
      <c r="IH30" s="930"/>
      <c r="II30" s="930"/>
      <c r="IJ30" s="930"/>
      <c r="IK30" s="930"/>
      <c r="IL30" s="930"/>
      <c r="IM30" s="930"/>
      <c r="IN30" s="930"/>
      <c r="IO30" s="930"/>
      <c r="IP30" s="930"/>
      <c r="IQ30" s="930"/>
      <c r="IR30" s="930"/>
      <c r="IS30" s="930"/>
      <c r="IT30" s="930"/>
      <c r="IU30" s="930"/>
      <c r="IV30" s="930"/>
    </row>
    <row r="31" spans="1:256">
      <c r="A31" s="935"/>
      <c r="B31" s="931"/>
      <c r="C31" s="1130"/>
      <c r="D31" s="1130"/>
      <c r="E31" s="931"/>
      <c r="F31" s="931"/>
      <c r="G31" s="931"/>
      <c r="H31" s="1130"/>
      <c r="I31" s="1130"/>
      <c r="J31" s="930"/>
      <c r="K31" s="930"/>
      <c r="L31" s="930"/>
      <c r="M31" s="930"/>
      <c r="N31" s="930"/>
      <c r="O31" s="930"/>
      <c r="P31" s="930"/>
      <c r="Q31" s="930"/>
      <c r="R31" s="930"/>
      <c r="S31" s="930"/>
      <c r="T31" s="930"/>
      <c r="U31" s="930"/>
      <c r="V31" s="930"/>
      <c r="W31" s="930"/>
      <c r="X31" s="930"/>
      <c r="Y31" s="930"/>
      <c r="Z31" s="930"/>
      <c r="AA31" s="930"/>
      <c r="AB31" s="930"/>
      <c r="AC31" s="930"/>
      <c r="AD31" s="930"/>
      <c r="AE31" s="930"/>
      <c r="AF31" s="930"/>
      <c r="AG31" s="930"/>
      <c r="AH31" s="930"/>
      <c r="AI31" s="930"/>
      <c r="AJ31" s="930"/>
      <c r="AK31" s="930"/>
      <c r="AL31" s="930"/>
      <c r="AM31" s="930"/>
      <c r="AN31" s="930"/>
      <c r="AO31" s="930"/>
      <c r="AP31" s="930"/>
      <c r="AQ31" s="930"/>
      <c r="AR31" s="930"/>
      <c r="AS31" s="930"/>
      <c r="AT31" s="930"/>
      <c r="AU31" s="930"/>
      <c r="AV31" s="930"/>
      <c r="AW31" s="930"/>
      <c r="AX31" s="930"/>
      <c r="AY31" s="930"/>
      <c r="AZ31" s="930"/>
      <c r="BA31" s="930"/>
      <c r="BB31" s="930"/>
      <c r="BC31" s="930"/>
      <c r="BD31" s="930"/>
      <c r="BE31" s="930"/>
      <c r="BF31" s="930"/>
      <c r="BG31" s="930"/>
      <c r="BH31" s="930"/>
      <c r="BI31" s="930"/>
      <c r="BJ31" s="930"/>
      <c r="BK31" s="930"/>
      <c r="BL31" s="930"/>
      <c r="BM31" s="930"/>
      <c r="BN31" s="930"/>
      <c r="BO31" s="930"/>
      <c r="BP31" s="930"/>
      <c r="BQ31" s="930"/>
      <c r="BR31" s="930"/>
      <c r="BS31" s="930"/>
      <c r="BT31" s="930"/>
      <c r="BU31" s="930"/>
      <c r="BV31" s="930"/>
      <c r="BW31" s="930"/>
      <c r="BX31" s="930"/>
      <c r="BY31" s="930"/>
      <c r="BZ31" s="930"/>
      <c r="CA31" s="930"/>
      <c r="CB31" s="930"/>
      <c r="CC31" s="930"/>
      <c r="CD31" s="930"/>
      <c r="CE31" s="930"/>
      <c r="CF31" s="930"/>
      <c r="CG31" s="930"/>
      <c r="CH31" s="930"/>
      <c r="CI31" s="930"/>
      <c r="CJ31" s="930"/>
      <c r="CK31" s="930"/>
      <c r="CL31" s="930"/>
      <c r="CM31" s="930"/>
      <c r="CN31" s="930"/>
      <c r="CO31" s="930"/>
      <c r="CP31" s="930"/>
      <c r="CQ31" s="930"/>
      <c r="CR31" s="930"/>
      <c r="CS31" s="930"/>
      <c r="CT31" s="930"/>
      <c r="CU31" s="930"/>
      <c r="CV31" s="930"/>
      <c r="CW31" s="930"/>
      <c r="CX31" s="930"/>
      <c r="CY31" s="930"/>
      <c r="CZ31" s="930"/>
      <c r="DA31" s="930"/>
      <c r="DB31" s="930"/>
      <c r="DC31" s="930"/>
      <c r="DD31" s="930"/>
      <c r="DE31" s="930"/>
      <c r="DF31" s="930"/>
      <c r="DG31" s="930"/>
      <c r="DH31" s="930"/>
      <c r="DI31" s="930"/>
      <c r="DJ31" s="930"/>
      <c r="DK31" s="930"/>
      <c r="DL31" s="930"/>
      <c r="DM31" s="930"/>
      <c r="DN31" s="930"/>
      <c r="DO31" s="930"/>
      <c r="DP31" s="930"/>
      <c r="DQ31" s="930"/>
      <c r="DR31" s="930"/>
      <c r="DS31" s="930"/>
      <c r="DT31" s="930"/>
      <c r="DU31" s="930"/>
      <c r="DV31" s="930"/>
      <c r="DW31" s="930"/>
      <c r="DX31" s="930"/>
      <c r="DY31" s="930"/>
      <c r="DZ31" s="930"/>
      <c r="EA31" s="930"/>
      <c r="EB31" s="930"/>
      <c r="EC31" s="930"/>
      <c r="ED31" s="930"/>
      <c r="EE31" s="930"/>
      <c r="EF31" s="930"/>
      <c r="EG31" s="930"/>
      <c r="EH31" s="930"/>
      <c r="EI31" s="930"/>
      <c r="EJ31" s="930"/>
      <c r="EK31" s="930"/>
      <c r="EL31" s="930"/>
      <c r="EM31" s="930"/>
      <c r="EN31" s="930"/>
      <c r="EO31" s="930"/>
      <c r="EP31" s="930"/>
      <c r="EQ31" s="930"/>
      <c r="ER31" s="930"/>
      <c r="ES31" s="930"/>
      <c r="ET31" s="930"/>
      <c r="EU31" s="930"/>
      <c r="EV31" s="930"/>
      <c r="EW31" s="930"/>
      <c r="EX31" s="930"/>
      <c r="EY31" s="930"/>
      <c r="EZ31" s="930"/>
      <c r="FA31" s="930"/>
      <c r="FB31" s="930"/>
      <c r="FC31" s="930"/>
      <c r="FD31" s="930"/>
      <c r="FE31" s="930"/>
      <c r="FF31" s="930"/>
      <c r="FG31" s="930"/>
      <c r="FH31" s="930"/>
      <c r="FI31" s="930"/>
      <c r="FJ31" s="930"/>
      <c r="FK31" s="930"/>
      <c r="FL31" s="930"/>
      <c r="FM31" s="930"/>
      <c r="FN31" s="930"/>
      <c r="FO31" s="930"/>
      <c r="FP31" s="930"/>
      <c r="FQ31" s="930"/>
      <c r="FR31" s="930"/>
      <c r="FS31" s="930"/>
      <c r="FT31" s="930"/>
      <c r="FU31" s="930"/>
      <c r="FV31" s="930"/>
      <c r="FW31" s="930"/>
      <c r="FX31" s="930"/>
      <c r="FY31" s="930"/>
      <c r="FZ31" s="930"/>
      <c r="GA31" s="930"/>
      <c r="GB31" s="930"/>
      <c r="GC31" s="930"/>
      <c r="GD31" s="930"/>
      <c r="GE31" s="930"/>
      <c r="GF31" s="930"/>
      <c r="GG31" s="930"/>
      <c r="GH31" s="930"/>
      <c r="GI31" s="930"/>
      <c r="GJ31" s="930"/>
      <c r="GK31" s="930"/>
      <c r="GL31" s="930"/>
      <c r="GM31" s="930"/>
      <c r="GN31" s="930"/>
      <c r="GO31" s="930"/>
      <c r="GP31" s="930"/>
      <c r="GQ31" s="930"/>
      <c r="GR31" s="930"/>
      <c r="GS31" s="930"/>
      <c r="GT31" s="930"/>
      <c r="GU31" s="930"/>
      <c r="GV31" s="930"/>
      <c r="GW31" s="930"/>
      <c r="GX31" s="930"/>
      <c r="GY31" s="930"/>
      <c r="GZ31" s="930"/>
      <c r="HA31" s="930"/>
      <c r="HB31" s="930"/>
      <c r="HC31" s="930"/>
      <c r="HD31" s="930"/>
      <c r="HE31" s="930"/>
      <c r="HF31" s="930"/>
      <c r="HG31" s="930"/>
      <c r="HH31" s="930"/>
      <c r="HI31" s="930"/>
      <c r="HJ31" s="930"/>
      <c r="HK31" s="930"/>
      <c r="HL31" s="930"/>
      <c r="HM31" s="930"/>
      <c r="HN31" s="930"/>
      <c r="HO31" s="930"/>
      <c r="HP31" s="930"/>
      <c r="HQ31" s="930"/>
      <c r="HR31" s="930"/>
      <c r="HS31" s="930"/>
      <c r="HT31" s="930"/>
      <c r="HU31" s="930"/>
      <c r="HV31" s="930"/>
      <c r="HW31" s="930"/>
      <c r="HX31" s="930"/>
      <c r="HY31" s="930"/>
      <c r="HZ31" s="930"/>
      <c r="IA31" s="930"/>
      <c r="IB31" s="930"/>
      <c r="IC31" s="930"/>
      <c r="ID31" s="930"/>
      <c r="IE31" s="930"/>
      <c r="IF31" s="930"/>
      <c r="IG31" s="930"/>
      <c r="IH31" s="930"/>
      <c r="II31" s="930"/>
      <c r="IJ31" s="930"/>
      <c r="IK31" s="930"/>
      <c r="IL31" s="930"/>
      <c r="IM31" s="930"/>
      <c r="IN31" s="930"/>
      <c r="IO31" s="930"/>
      <c r="IP31" s="930"/>
      <c r="IQ31" s="930"/>
      <c r="IR31" s="930"/>
      <c r="IS31" s="930"/>
      <c r="IT31" s="930"/>
      <c r="IU31" s="930"/>
      <c r="IV31" s="930"/>
    </row>
    <row r="32" spans="1:256">
      <c r="A32" s="935">
        <f>+A30+1</f>
        <v>18</v>
      </c>
      <c r="B32" s="931" t="s">
        <v>571</v>
      </c>
      <c r="C32" s="1130"/>
      <c r="D32" s="1128">
        <f>+D30</f>
        <v>-1410895282.3599987</v>
      </c>
      <c r="E32" s="931"/>
      <c r="F32" s="931"/>
      <c r="G32" s="931"/>
      <c r="H32" s="1130"/>
      <c r="I32" s="1128">
        <f>+I30</f>
        <v>-1392260212.3657074</v>
      </c>
      <c r="J32" s="930"/>
      <c r="K32" s="930"/>
      <c r="L32" s="930"/>
      <c r="M32" s="930"/>
      <c r="N32" s="930"/>
      <c r="O32" s="930"/>
      <c r="P32" s="930"/>
      <c r="Q32" s="930"/>
      <c r="R32" s="930"/>
      <c r="S32" s="930"/>
      <c r="T32" s="930"/>
      <c r="U32" s="930"/>
      <c r="V32" s="930"/>
      <c r="W32" s="930"/>
      <c r="X32" s="930"/>
      <c r="Y32" s="930"/>
      <c r="Z32" s="930"/>
      <c r="AA32" s="930"/>
      <c r="AB32" s="930"/>
      <c r="AC32" s="930"/>
      <c r="AD32" s="930"/>
      <c r="AE32" s="930"/>
      <c r="AF32" s="930"/>
      <c r="AG32" s="930"/>
      <c r="AH32" s="930"/>
      <c r="AI32" s="930"/>
      <c r="AJ32" s="930"/>
      <c r="AK32" s="930"/>
      <c r="AL32" s="930"/>
      <c r="AM32" s="930"/>
      <c r="AN32" s="930"/>
      <c r="AO32" s="930"/>
      <c r="AP32" s="930"/>
      <c r="AQ32" s="930"/>
      <c r="AR32" s="930"/>
      <c r="AS32" s="930"/>
      <c r="AT32" s="930"/>
      <c r="AU32" s="930"/>
      <c r="AV32" s="930"/>
      <c r="AW32" s="930"/>
      <c r="AX32" s="930"/>
      <c r="AY32" s="930"/>
      <c r="AZ32" s="930"/>
      <c r="BA32" s="930"/>
      <c r="BB32" s="930"/>
      <c r="BC32" s="930"/>
      <c r="BD32" s="930"/>
      <c r="BE32" s="930"/>
      <c r="BF32" s="930"/>
      <c r="BG32" s="930"/>
      <c r="BH32" s="930"/>
      <c r="BI32" s="930"/>
      <c r="BJ32" s="930"/>
      <c r="BK32" s="930"/>
      <c r="BL32" s="930"/>
      <c r="BM32" s="930"/>
      <c r="BN32" s="930"/>
      <c r="BO32" s="930"/>
      <c r="BP32" s="930"/>
      <c r="BQ32" s="930"/>
      <c r="BR32" s="930"/>
      <c r="BS32" s="930"/>
      <c r="BT32" s="930"/>
      <c r="BU32" s="930"/>
      <c r="BV32" s="930"/>
      <c r="BW32" s="930"/>
      <c r="BX32" s="930"/>
      <c r="BY32" s="930"/>
      <c r="BZ32" s="930"/>
      <c r="CA32" s="930"/>
      <c r="CB32" s="930"/>
      <c r="CC32" s="930"/>
      <c r="CD32" s="930"/>
      <c r="CE32" s="930"/>
      <c r="CF32" s="930"/>
      <c r="CG32" s="930"/>
      <c r="CH32" s="930"/>
      <c r="CI32" s="930"/>
      <c r="CJ32" s="930"/>
      <c r="CK32" s="930"/>
      <c r="CL32" s="930"/>
      <c r="CM32" s="930"/>
      <c r="CN32" s="930"/>
      <c r="CO32" s="930"/>
      <c r="CP32" s="930"/>
      <c r="CQ32" s="930"/>
      <c r="CR32" s="930"/>
      <c r="CS32" s="930"/>
      <c r="CT32" s="930"/>
      <c r="CU32" s="930"/>
      <c r="CV32" s="930"/>
      <c r="CW32" s="930"/>
      <c r="CX32" s="930"/>
      <c r="CY32" s="930"/>
      <c r="CZ32" s="930"/>
      <c r="DA32" s="930"/>
      <c r="DB32" s="930"/>
      <c r="DC32" s="930"/>
      <c r="DD32" s="930"/>
      <c r="DE32" s="930"/>
      <c r="DF32" s="930"/>
      <c r="DG32" s="930"/>
      <c r="DH32" s="930"/>
      <c r="DI32" s="930"/>
      <c r="DJ32" s="930"/>
      <c r="DK32" s="930"/>
      <c r="DL32" s="930"/>
      <c r="DM32" s="930"/>
      <c r="DN32" s="930"/>
      <c r="DO32" s="930"/>
      <c r="DP32" s="930"/>
      <c r="DQ32" s="930"/>
      <c r="DR32" s="930"/>
      <c r="DS32" s="930"/>
      <c r="DT32" s="930"/>
      <c r="DU32" s="930"/>
      <c r="DV32" s="930"/>
      <c r="DW32" s="930"/>
      <c r="DX32" s="930"/>
      <c r="DY32" s="930"/>
      <c r="DZ32" s="930"/>
      <c r="EA32" s="930"/>
      <c r="EB32" s="930"/>
      <c r="EC32" s="930"/>
      <c r="ED32" s="930"/>
      <c r="EE32" s="930"/>
      <c r="EF32" s="930"/>
      <c r="EG32" s="930"/>
      <c r="EH32" s="930"/>
      <c r="EI32" s="930"/>
      <c r="EJ32" s="930"/>
      <c r="EK32" s="930"/>
      <c r="EL32" s="930"/>
      <c r="EM32" s="930"/>
      <c r="EN32" s="930"/>
      <c r="EO32" s="930"/>
      <c r="EP32" s="930"/>
      <c r="EQ32" s="930"/>
      <c r="ER32" s="930"/>
      <c r="ES32" s="930"/>
      <c r="ET32" s="930"/>
      <c r="EU32" s="930"/>
      <c r="EV32" s="930"/>
      <c r="EW32" s="930"/>
      <c r="EX32" s="930"/>
      <c r="EY32" s="930"/>
      <c r="EZ32" s="930"/>
      <c r="FA32" s="930"/>
      <c r="FB32" s="930"/>
      <c r="FC32" s="930"/>
      <c r="FD32" s="930"/>
      <c r="FE32" s="930"/>
      <c r="FF32" s="930"/>
      <c r="FG32" s="930"/>
      <c r="FH32" s="930"/>
      <c r="FI32" s="930"/>
      <c r="FJ32" s="930"/>
      <c r="FK32" s="930"/>
      <c r="FL32" s="930"/>
      <c r="FM32" s="930"/>
      <c r="FN32" s="930"/>
      <c r="FO32" s="930"/>
      <c r="FP32" s="930"/>
      <c r="FQ32" s="930"/>
      <c r="FR32" s="930"/>
      <c r="FS32" s="930"/>
      <c r="FT32" s="930"/>
      <c r="FU32" s="930"/>
      <c r="FV32" s="930"/>
      <c r="FW32" s="930"/>
      <c r="FX32" s="930"/>
      <c r="FY32" s="930"/>
      <c r="FZ32" s="930"/>
      <c r="GA32" s="930"/>
      <c r="GB32" s="930"/>
      <c r="GC32" s="930"/>
      <c r="GD32" s="930"/>
      <c r="GE32" s="930"/>
      <c r="GF32" s="930"/>
      <c r="GG32" s="930"/>
      <c r="GH32" s="930"/>
      <c r="GI32" s="930"/>
      <c r="GJ32" s="930"/>
      <c r="GK32" s="930"/>
      <c r="GL32" s="930"/>
      <c r="GM32" s="930"/>
      <c r="GN32" s="930"/>
      <c r="GO32" s="930"/>
      <c r="GP32" s="930"/>
      <c r="GQ32" s="930"/>
      <c r="GR32" s="930"/>
      <c r="GS32" s="930"/>
      <c r="GT32" s="930"/>
      <c r="GU32" s="930"/>
      <c r="GV32" s="930"/>
      <c r="GW32" s="930"/>
      <c r="GX32" s="930"/>
      <c r="GY32" s="930"/>
      <c r="GZ32" s="930"/>
      <c r="HA32" s="930"/>
      <c r="HB32" s="930"/>
      <c r="HC32" s="930"/>
      <c r="HD32" s="930"/>
      <c r="HE32" s="930"/>
      <c r="HF32" s="930"/>
      <c r="HG32" s="930"/>
      <c r="HH32" s="930"/>
      <c r="HI32" s="930"/>
      <c r="HJ32" s="930"/>
      <c r="HK32" s="930"/>
      <c r="HL32" s="930"/>
      <c r="HM32" s="930"/>
      <c r="HN32" s="930"/>
      <c r="HO32" s="930"/>
      <c r="HP32" s="930"/>
      <c r="HQ32" s="930"/>
      <c r="HR32" s="930"/>
      <c r="HS32" s="930"/>
      <c r="HT32" s="930"/>
      <c r="HU32" s="930"/>
      <c r="HV32" s="930"/>
      <c r="HW32" s="930"/>
      <c r="HX32" s="930"/>
      <c r="HY32" s="930"/>
      <c r="HZ32" s="930"/>
      <c r="IA32" s="930"/>
      <c r="IB32" s="930"/>
      <c r="IC32" s="930"/>
      <c r="ID32" s="930"/>
      <c r="IE32" s="930"/>
      <c r="IF32" s="930"/>
      <c r="IG32" s="930"/>
      <c r="IH32" s="930"/>
      <c r="II32" s="930"/>
      <c r="IJ32" s="930"/>
      <c r="IK32" s="930"/>
      <c r="IL32" s="930"/>
      <c r="IM32" s="930"/>
      <c r="IN32" s="930"/>
      <c r="IO32" s="930"/>
      <c r="IP32" s="930"/>
      <c r="IQ32" s="930"/>
      <c r="IR32" s="930"/>
      <c r="IS32" s="930"/>
      <c r="IT32" s="930"/>
      <c r="IU32" s="930"/>
      <c r="IV32" s="930"/>
    </row>
    <row r="33" spans="1:256">
      <c r="A33" s="935"/>
      <c r="B33" s="945"/>
      <c r="C33" s="945"/>
      <c r="D33" s="945"/>
      <c r="E33" s="945"/>
      <c r="F33" s="945"/>
      <c r="G33" s="945"/>
      <c r="H33" s="945"/>
      <c r="I33" s="945"/>
      <c r="J33" s="930"/>
      <c r="K33" s="930"/>
      <c r="L33" s="930"/>
      <c r="M33" s="930"/>
      <c r="N33" s="930"/>
      <c r="O33" s="930"/>
      <c r="P33" s="930"/>
      <c r="Q33" s="930"/>
      <c r="R33" s="930"/>
      <c r="S33" s="930"/>
      <c r="T33" s="930"/>
      <c r="U33" s="930"/>
      <c r="V33" s="930"/>
      <c r="W33" s="930"/>
      <c r="X33" s="930"/>
      <c r="Y33" s="930"/>
      <c r="Z33" s="930"/>
      <c r="AA33" s="930"/>
      <c r="AB33" s="930"/>
      <c r="AC33" s="930"/>
      <c r="AD33" s="930"/>
      <c r="AE33" s="930"/>
      <c r="AF33" s="930"/>
      <c r="AG33" s="930"/>
      <c r="AH33" s="930"/>
      <c r="AI33" s="930"/>
      <c r="AJ33" s="930"/>
      <c r="AK33" s="930"/>
      <c r="AL33" s="930"/>
      <c r="AM33" s="930"/>
      <c r="AN33" s="930"/>
      <c r="AO33" s="930"/>
      <c r="AP33" s="930"/>
      <c r="AQ33" s="930"/>
      <c r="AR33" s="930"/>
      <c r="AS33" s="930"/>
      <c r="AT33" s="930"/>
      <c r="AU33" s="930"/>
      <c r="AV33" s="930"/>
      <c r="AW33" s="930"/>
      <c r="AX33" s="930"/>
      <c r="AY33" s="930"/>
      <c r="AZ33" s="930"/>
      <c r="BA33" s="930"/>
      <c r="BB33" s="930"/>
      <c r="BC33" s="930"/>
      <c r="BD33" s="930"/>
      <c r="BE33" s="930"/>
      <c r="BF33" s="930"/>
      <c r="BG33" s="930"/>
      <c r="BH33" s="930"/>
      <c r="BI33" s="930"/>
      <c r="BJ33" s="930"/>
      <c r="BK33" s="930"/>
      <c r="BL33" s="930"/>
      <c r="BM33" s="930"/>
      <c r="BN33" s="930"/>
      <c r="BO33" s="930"/>
      <c r="BP33" s="930"/>
      <c r="BQ33" s="930"/>
      <c r="BR33" s="930"/>
      <c r="BS33" s="930"/>
      <c r="BT33" s="930"/>
      <c r="BU33" s="930"/>
      <c r="BV33" s="930"/>
      <c r="BW33" s="930"/>
      <c r="BX33" s="930"/>
      <c r="BY33" s="930"/>
      <c r="BZ33" s="930"/>
      <c r="CA33" s="930"/>
      <c r="CB33" s="930"/>
      <c r="CC33" s="930"/>
      <c r="CD33" s="930"/>
      <c r="CE33" s="930"/>
      <c r="CF33" s="930"/>
      <c r="CG33" s="930"/>
      <c r="CH33" s="930"/>
      <c r="CI33" s="930"/>
      <c r="CJ33" s="930"/>
      <c r="CK33" s="930"/>
      <c r="CL33" s="930"/>
      <c r="CM33" s="930"/>
      <c r="CN33" s="930"/>
      <c r="CO33" s="930"/>
      <c r="CP33" s="930"/>
      <c r="CQ33" s="930"/>
      <c r="CR33" s="930"/>
      <c r="CS33" s="930"/>
      <c r="CT33" s="930"/>
      <c r="CU33" s="930"/>
      <c r="CV33" s="930"/>
      <c r="CW33" s="930"/>
      <c r="CX33" s="930"/>
      <c r="CY33" s="930"/>
      <c r="CZ33" s="930"/>
      <c r="DA33" s="930"/>
      <c r="DB33" s="930"/>
      <c r="DC33" s="930"/>
      <c r="DD33" s="930"/>
      <c r="DE33" s="930"/>
      <c r="DF33" s="930"/>
      <c r="DG33" s="930"/>
      <c r="DH33" s="930"/>
      <c r="DI33" s="930"/>
      <c r="DJ33" s="930"/>
      <c r="DK33" s="930"/>
      <c r="DL33" s="930"/>
      <c r="DM33" s="930"/>
      <c r="DN33" s="930"/>
      <c r="DO33" s="930"/>
      <c r="DP33" s="930"/>
      <c r="DQ33" s="930"/>
      <c r="DR33" s="930"/>
      <c r="DS33" s="930"/>
      <c r="DT33" s="930"/>
      <c r="DU33" s="930"/>
      <c r="DV33" s="930"/>
      <c r="DW33" s="930"/>
      <c r="DX33" s="930"/>
      <c r="DY33" s="930"/>
      <c r="DZ33" s="930"/>
      <c r="EA33" s="930"/>
      <c r="EB33" s="930"/>
      <c r="EC33" s="930"/>
      <c r="ED33" s="930"/>
      <c r="EE33" s="930"/>
      <c r="EF33" s="930"/>
      <c r="EG33" s="930"/>
      <c r="EH33" s="930"/>
      <c r="EI33" s="930"/>
      <c r="EJ33" s="930"/>
      <c r="EK33" s="930"/>
      <c r="EL33" s="930"/>
      <c r="EM33" s="930"/>
      <c r="EN33" s="930"/>
      <c r="EO33" s="930"/>
      <c r="EP33" s="930"/>
      <c r="EQ33" s="930"/>
      <c r="ER33" s="930"/>
      <c r="ES33" s="930"/>
      <c r="ET33" s="930"/>
      <c r="EU33" s="930"/>
      <c r="EV33" s="930"/>
      <c r="EW33" s="930"/>
      <c r="EX33" s="930"/>
      <c r="EY33" s="930"/>
      <c r="EZ33" s="930"/>
      <c r="FA33" s="930"/>
      <c r="FB33" s="930"/>
      <c r="FC33" s="930"/>
      <c r="FD33" s="930"/>
      <c r="FE33" s="930"/>
      <c r="FF33" s="930"/>
      <c r="FG33" s="930"/>
      <c r="FH33" s="930"/>
      <c r="FI33" s="930"/>
      <c r="FJ33" s="930"/>
      <c r="FK33" s="930"/>
      <c r="FL33" s="930"/>
      <c r="FM33" s="930"/>
      <c r="FN33" s="930"/>
      <c r="FO33" s="930"/>
      <c r="FP33" s="930"/>
      <c r="FQ33" s="930"/>
      <c r="FR33" s="930"/>
      <c r="FS33" s="930"/>
      <c r="FT33" s="930"/>
      <c r="FU33" s="930"/>
      <c r="FV33" s="930"/>
      <c r="FW33" s="930"/>
      <c r="FX33" s="930"/>
      <c r="FY33" s="930"/>
      <c r="FZ33" s="930"/>
      <c r="GA33" s="930"/>
      <c r="GB33" s="930"/>
      <c r="GC33" s="930"/>
      <c r="GD33" s="930"/>
      <c r="GE33" s="930"/>
      <c r="GF33" s="930"/>
      <c r="GG33" s="930"/>
      <c r="GH33" s="930"/>
      <c r="GI33" s="930"/>
      <c r="GJ33" s="930"/>
      <c r="GK33" s="930"/>
      <c r="GL33" s="930"/>
      <c r="GM33" s="930"/>
      <c r="GN33" s="930"/>
      <c r="GO33" s="930"/>
      <c r="GP33" s="930"/>
      <c r="GQ33" s="930"/>
      <c r="GR33" s="930"/>
      <c r="GS33" s="930"/>
      <c r="GT33" s="930"/>
      <c r="GU33" s="930"/>
      <c r="GV33" s="930"/>
      <c r="GW33" s="930"/>
      <c r="GX33" s="930"/>
      <c r="GY33" s="930"/>
      <c r="GZ33" s="930"/>
      <c r="HA33" s="930"/>
      <c r="HB33" s="930"/>
      <c r="HC33" s="930"/>
      <c r="HD33" s="930"/>
      <c r="HE33" s="930"/>
      <c r="HF33" s="930"/>
      <c r="HG33" s="930"/>
      <c r="HH33" s="930"/>
      <c r="HI33" s="930"/>
      <c r="HJ33" s="930"/>
      <c r="HK33" s="930"/>
      <c r="HL33" s="930"/>
      <c r="HM33" s="930"/>
      <c r="HN33" s="930"/>
      <c r="HO33" s="930"/>
      <c r="HP33" s="930"/>
      <c r="HQ33" s="930"/>
      <c r="HR33" s="930"/>
      <c r="HS33" s="930"/>
      <c r="HT33" s="930"/>
      <c r="HU33" s="930"/>
      <c r="HV33" s="930"/>
      <c r="HW33" s="930"/>
      <c r="HX33" s="930"/>
      <c r="HY33" s="930"/>
      <c r="HZ33" s="930"/>
      <c r="IA33" s="930"/>
      <c r="IB33" s="930"/>
      <c r="IC33" s="930"/>
      <c r="ID33" s="930"/>
      <c r="IE33" s="930"/>
      <c r="IF33" s="930"/>
      <c r="IG33" s="930"/>
      <c r="IH33" s="930"/>
      <c r="II33" s="930"/>
      <c r="IJ33" s="930"/>
      <c r="IK33" s="930"/>
      <c r="IL33" s="930"/>
      <c r="IM33" s="930"/>
      <c r="IN33" s="930"/>
      <c r="IO33" s="930"/>
      <c r="IP33" s="930"/>
      <c r="IQ33" s="930"/>
      <c r="IR33" s="930"/>
      <c r="IS33" s="930"/>
      <c r="IT33" s="930"/>
      <c r="IU33" s="930"/>
      <c r="IV33" s="930"/>
    </row>
    <row r="34" spans="1:256" ht="13.5" thickBot="1">
      <c r="A34" s="935">
        <f>+A32+1</f>
        <v>19</v>
      </c>
      <c r="B34" s="946" t="str">
        <f>"Proration Adjustment - Line "&amp;A32&amp;" Col. "&amp;I16&amp;" less Col. "&amp;D16</f>
        <v>Proration Adjustment - Line 18 Col. (H) less Col. (C )</v>
      </c>
      <c r="C34" s="946"/>
      <c r="D34" s="946"/>
      <c r="E34" s="946"/>
      <c r="F34" s="946"/>
      <c r="G34" s="946"/>
      <c r="H34" s="946"/>
      <c r="I34" s="1131">
        <f>+I32-D32</f>
        <v>18635069.994291306</v>
      </c>
      <c r="J34" s="930"/>
      <c r="K34" s="930"/>
      <c r="L34" s="930"/>
      <c r="M34" s="930"/>
      <c r="N34" s="930"/>
      <c r="O34" s="930"/>
      <c r="P34" s="930"/>
      <c r="Q34" s="930"/>
      <c r="R34" s="930"/>
      <c r="S34" s="930"/>
      <c r="T34" s="930"/>
      <c r="U34" s="930"/>
      <c r="V34" s="930"/>
      <c r="W34" s="930"/>
      <c r="X34" s="930"/>
      <c r="Y34" s="930"/>
      <c r="Z34" s="930"/>
      <c r="AA34" s="930"/>
      <c r="AB34" s="930"/>
      <c r="AC34" s="930"/>
      <c r="AD34" s="930"/>
      <c r="AE34" s="930"/>
      <c r="AF34" s="930"/>
      <c r="AG34" s="930"/>
      <c r="AH34" s="930"/>
      <c r="AI34" s="930"/>
      <c r="AJ34" s="930"/>
      <c r="AK34" s="930"/>
      <c r="AL34" s="930"/>
      <c r="AM34" s="930"/>
      <c r="AN34" s="930"/>
      <c r="AO34" s="930"/>
      <c r="AP34" s="930"/>
      <c r="AQ34" s="930"/>
      <c r="AR34" s="930"/>
      <c r="AS34" s="930"/>
      <c r="AT34" s="930"/>
      <c r="AU34" s="930"/>
      <c r="AV34" s="930"/>
      <c r="AW34" s="930"/>
      <c r="AX34" s="930"/>
      <c r="AY34" s="930"/>
      <c r="AZ34" s="930"/>
      <c r="BA34" s="930"/>
      <c r="BB34" s="930"/>
      <c r="BC34" s="930"/>
      <c r="BD34" s="930"/>
      <c r="BE34" s="930"/>
      <c r="BF34" s="930"/>
      <c r="BG34" s="930"/>
      <c r="BH34" s="930"/>
      <c r="BI34" s="930"/>
      <c r="BJ34" s="930"/>
      <c r="BK34" s="930"/>
      <c r="BL34" s="930"/>
      <c r="BM34" s="930"/>
      <c r="BN34" s="930"/>
      <c r="BO34" s="930"/>
      <c r="BP34" s="930"/>
      <c r="BQ34" s="930"/>
      <c r="BR34" s="930"/>
      <c r="BS34" s="930"/>
      <c r="BT34" s="930"/>
      <c r="BU34" s="930"/>
      <c r="BV34" s="930"/>
      <c r="BW34" s="930"/>
      <c r="BX34" s="930"/>
      <c r="BY34" s="930"/>
      <c r="BZ34" s="930"/>
      <c r="CA34" s="930"/>
      <c r="CB34" s="930"/>
      <c r="CC34" s="930"/>
      <c r="CD34" s="930"/>
      <c r="CE34" s="930"/>
      <c r="CF34" s="930"/>
      <c r="CG34" s="930"/>
      <c r="CH34" s="930"/>
      <c r="CI34" s="930"/>
      <c r="CJ34" s="930"/>
      <c r="CK34" s="930"/>
      <c r="CL34" s="930"/>
      <c r="CM34" s="930"/>
      <c r="CN34" s="930"/>
      <c r="CO34" s="930"/>
      <c r="CP34" s="930"/>
      <c r="CQ34" s="930"/>
      <c r="CR34" s="930"/>
      <c r="CS34" s="930"/>
      <c r="CT34" s="930"/>
      <c r="CU34" s="930"/>
      <c r="CV34" s="930"/>
      <c r="CW34" s="930"/>
      <c r="CX34" s="930"/>
      <c r="CY34" s="930"/>
      <c r="CZ34" s="930"/>
      <c r="DA34" s="930"/>
      <c r="DB34" s="930"/>
      <c r="DC34" s="930"/>
      <c r="DD34" s="930"/>
      <c r="DE34" s="930"/>
      <c r="DF34" s="930"/>
      <c r="DG34" s="930"/>
      <c r="DH34" s="930"/>
      <c r="DI34" s="930"/>
      <c r="DJ34" s="930"/>
      <c r="DK34" s="930"/>
      <c r="DL34" s="930"/>
      <c r="DM34" s="930"/>
      <c r="DN34" s="930"/>
      <c r="DO34" s="930"/>
      <c r="DP34" s="930"/>
      <c r="DQ34" s="930"/>
      <c r="DR34" s="930"/>
      <c r="DS34" s="930"/>
      <c r="DT34" s="930"/>
      <c r="DU34" s="930"/>
      <c r="DV34" s="930"/>
      <c r="DW34" s="930"/>
      <c r="DX34" s="930"/>
      <c r="DY34" s="930"/>
      <c r="DZ34" s="930"/>
      <c r="EA34" s="930"/>
      <c r="EB34" s="930"/>
      <c r="EC34" s="930"/>
      <c r="ED34" s="930"/>
      <c r="EE34" s="930"/>
      <c r="EF34" s="930"/>
      <c r="EG34" s="930"/>
      <c r="EH34" s="930"/>
      <c r="EI34" s="930"/>
      <c r="EJ34" s="930"/>
      <c r="EK34" s="930"/>
      <c r="EL34" s="930"/>
      <c r="EM34" s="930"/>
      <c r="EN34" s="930"/>
      <c r="EO34" s="930"/>
      <c r="EP34" s="930"/>
      <c r="EQ34" s="930"/>
      <c r="ER34" s="930"/>
      <c r="ES34" s="930"/>
      <c r="ET34" s="930"/>
      <c r="EU34" s="930"/>
      <c r="EV34" s="930"/>
      <c r="EW34" s="930"/>
      <c r="EX34" s="930"/>
      <c r="EY34" s="930"/>
      <c r="EZ34" s="930"/>
      <c r="FA34" s="930"/>
      <c r="FB34" s="930"/>
      <c r="FC34" s="930"/>
      <c r="FD34" s="930"/>
      <c r="FE34" s="930"/>
      <c r="FF34" s="930"/>
      <c r="FG34" s="930"/>
      <c r="FH34" s="930"/>
      <c r="FI34" s="930"/>
      <c r="FJ34" s="930"/>
      <c r="FK34" s="930"/>
      <c r="FL34" s="930"/>
      <c r="FM34" s="930"/>
      <c r="FN34" s="930"/>
      <c r="FO34" s="930"/>
      <c r="FP34" s="930"/>
      <c r="FQ34" s="930"/>
      <c r="FR34" s="930"/>
      <c r="FS34" s="930"/>
      <c r="FT34" s="930"/>
      <c r="FU34" s="930"/>
      <c r="FV34" s="930"/>
      <c r="FW34" s="930"/>
      <c r="FX34" s="930"/>
      <c r="FY34" s="930"/>
      <c r="FZ34" s="930"/>
      <c r="GA34" s="930"/>
      <c r="GB34" s="930"/>
      <c r="GC34" s="930"/>
      <c r="GD34" s="930"/>
      <c r="GE34" s="930"/>
      <c r="GF34" s="930"/>
      <c r="GG34" s="930"/>
      <c r="GH34" s="930"/>
      <c r="GI34" s="930"/>
      <c r="GJ34" s="930"/>
      <c r="GK34" s="930"/>
      <c r="GL34" s="930"/>
      <c r="GM34" s="930"/>
      <c r="GN34" s="930"/>
      <c r="GO34" s="930"/>
      <c r="GP34" s="930"/>
      <c r="GQ34" s="930"/>
      <c r="GR34" s="930"/>
      <c r="GS34" s="930"/>
      <c r="GT34" s="930"/>
      <c r="GU34" s="930"/>
      <c r="GV34" s="930"/>
      <c r="GW34" s="930"/>
      <c r="GX34" s="930"/>
      <c r="GY34" s="930"/>
      <c r="GZ34" s="930"/>
      <c r="HA34" s="930"/>
      <c r="HB34" s="930"/>
      <c r="HC34" s="930"/>
      <c r="HD34" s="930"/>
      <c r="HE34" s="930"/>
      <c r="HF34" s="930"/>
      <c r="HG34" s="930"/>
      <c r="HH34" s="930"/>
      <c r="HI34" s="930"/>
      <c r="HJ34" s="930"/>
      <c r="HK34" s="930"/>
      <c r="HL34" s="930"/>
      <c r="HM34" s="930"/>
      <c r="HN34" s="930"/>
      <c r="HO34" s="930"/>
      <c r="HP34" s="930"/>
      <c r="HQ34" s="930"/>
      <c r="HR34" s="930"/>
      <c r="HS34" s="930"/>
      <c r="HT34" s="930"/>
      <c r="HU34" s="930"/>
      <c r="HV34" s="930"/>
      <c r="HW34" s="930"/>
      <c r="HX34" s="930"/>
      <c r="HY34" s="930"/>
      <c r="HZ34" s="930"/>
      <c r="IA34" s="930"/>
      <c r="IB34" s="930"/>
      <c r="IC34" s="930"/>
      <c r="ID34" s="930"/>
      <c r="IE34" s="930"/>
      <c r="IF34" s="930"/>
      <c r="IG34" s="930"/>
      <c r="IH34" s="930"/>
      <c r="II34" s="930"/>
      <c r="IJ34" s="930"/>
      <c r="IK34" s="930"/>
      <c r="IL34" s="930"/>
      <c r="IM34" s="930"/>
      <c r="IN34" s="930"/>
      <c r="IO34" s="930"/>
      <c r="IP34" s="930"/>
      <c r="IQ34" s="930"/>
      <c r="IR34" s="930"/>
      <c r="IS34" s="930"/>
      <c r="IT34" s="930"/>
      <c r="IU34" s="930"/>
      <c r="IV34" s="930"/>
    </row>
    <row r="35" spans="1:256" ht="13.5" thickTop="1">
      <c r="A35" s="930"/>
      <c r="B35" s="945"/>
      <c r="C35" s="945"/>
      <c r="D35" s="945"/>
      <c r="E35" s="945"/>
      <c r="F35" s="945"/>
      <c r="G35" s="945"/>
      <c r="H35" s="945"/>
      <c r="I35" s="945"/>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0"/>
      <c r="AY35" s="930"/>
      <c r="AZ35" s="930"/>
      <c r="BA35" s="930"/>
      <c r="BB35" s="930"/>
      <c r="BC35" s="930"/>
      <c r="BD35" s="930"/>
      <c r="BE35" s="930"/>
      <c r="BF35" s="930"/>
      <c r="BG35" s="930"/>
      <c r="BH35" s="930"/>
      <c r="BI35" s="930"/>
      <c r="BJ35" s="930"/>
      <c r="BK35" s="930"/>
      <c r="BL35" s="930"/>
      <c r="BM35" s="930"/>
      <c r="BN35" s="930"/>
      <c r="BO35" s="930"/>
      <c r="BP35" s="930"/>
      <c r="BQ35" s="930"/>
      <c r="BR35" s="930"/>
      <c r="BS35" s="930"/>
      <c r="BT35" s="930"/>
      <c r="BU35" s="930"/>
      <c r="BV35" s="930"/>
      <c r="BW35" s="930"/>
      <c r="BX35" s="930"/>
      <c r="BY35" s="930"/>
      <c r="BZ35" s="930"/>
      <c r="CA35" s="930"/>
      <c r="CB35" s="930"/>
      <c r="CC35" s="930"/>
      <c r="CD35" s="930"/>
      <c r="CE35" s="930"/>
      <c r="CF35" s="930"/>
      <c r="CG35" s="930"/>
      <c r="CH35" s="930"/>
      <c r="CI35" s="930"/>
      <c r="CJ35" s="930"/>
      <c r="CK35" s="930"/>
      <c r="CL35" s="930"/>
      <c r="CM35" s="930"/>
      <c r="CN35" s="930"/>
      <c r="CO35" s="930"/>
      <c r="CP35" s="930"/>
      <c r="CQ35" s="930"/>
      <c r="CR35" s="930"/>
      <c r="CS35" s="930"/>
      <c r="CT35" s="930"/>
      <c r="CU35" s="930"/>
      <c r="CV35" s="930"/>
      <c r="CW35" s="930"/>
      <c r="CX35" s="930"/>
      <c r="CY35" s="930"/>
      <c r="CZ35" s="930"/>
      <c r="DA35" s="930"/>
      <c r="DB35" s="930"/>
      <c r="DC35" s="930"/>
      <c r="DD35" s="930"/>
      <c r="DE35" s="930"/>
      <c r="DF35" s="930"/>
      <c r="DG35" s="930"/>
      <c r="DH35" s="930"/>
      <c r="DI35" s="930"/>
      <c r="DJ35" s="930"/>
      <c r="DK35" s="930"/>
      <c r="DL35" s="930"/>
      <c r="DM35" s="930"/>
      <c r="DN35" s="930"/>
      <c r="DO35" s="930"/>
      <c r="DP35" s="930"/>
      <c r="DQ35" s="930"/>
      <c r="DR35" s="930"/>
      <c r="DS35" s="930"/>
      <c r="DT35" s="930"/>
      <c r="DU35" s="930"/>
      <c r="DV35" s="930"/>
      <c r="DW35" s="930"/>
      <c r="DX35" s="930"/>
      <c r="DY35" s="930"/>
      <c r="DZ35" s="930"/>
      <c r="EA35" s="930"/>
      <c r="EB35" s="930"/>
      <c r="EC35" s="930"/>
      <c r="ED35" s="930"/>
      <c r="EE35" s="930"/>
      <c r="EF35" s="930"/>
      <c r="EG35" s="930"/>
      <c r="EH35" s="930"/>
      <c r="EI35" s="930"/>
      <c r="EJ35" s="930"/>
      <c r="EK35" s="930"/>
      <c r="EL35" s="930"/>
      <c r="EM35" s="930"/>
      <c r="EN35" s="930"/>
      <c r="EO35" s="930"/>
      <c r="EP35" s="930"/>
      <c r="EQ35" s="930"/>
      <c r="ER35" s="930"/>
      <c r="ES35" s="930"/>
      <c r="ET35" s="930"/>
      <c r="EU35" s="930"/>
      <c r="EV35" s="930"/>
      <c r="EW35" s="930"/>
      <c r="EX35" s="930"/>
      <c r="EY35" s="930"/>
      <c r="EZ35" s="930"/>
      <c r="FA35" s="930"/>
      <c r="FB35" s="930"/>
      <c r="FC35" s="930"/>
      <c r="FD35" s="930"/>
      <c r="FE35" s="930"/>
      <c r="FF35" s="930"/>
      <c r="FG35" s="930"/>
      <c r="FH35" s="930"/>
      <c r="FI35" s="930"/>
      <c r="FJ35" s="930"/>
      <c r="FK35" s="930"/>
      <c r="FL35" s="930"/>
      <c r="FM35" s="930"/>
      <c r="FN35" s="930"/>
      <c r="FO35" s="930"/>
      <c r="FP35" s="930"/>
      <c r="FQ35" s="930"/>
      <c r="FR35" s="930"/>
      <c r="FS35" s="930"/>
      <c r="FT35" s="930"/>
      <c r="FU35" s="930"/>
      <c r="FV35" s="930"/>
      <c r="FW35" s="930"/>
      <c r="FX35" s="930"/>
      <c r="FY35" s="930"/>
      <c r="FZ35" s="930"/>
      <c r="GA35" s="930"/>
      <c r="GB35" s="930"/>
      <c r="GC35" s="930"/>
      <c r="GD35" s="930"/>
      <c r="GE35" s="930"/>
      <c r="GF35" s="930"/>
      <c r="GG35" s="930"/>
      <c r="GH35" s="930"/>
      <c r="GI35" s="930"/>
      <c r="GJ35" s="930"/>
      <c r="GK35" s="930"/>
      <c r="GL35" s="930"/>
      <c r="GM35" s="930"/>
      <c r="GN35" s="930"/>
      <c r="GO35" s="930"/>
      <c r="GP35" s="930"/>
      <c r="GQ35" s="930"/>
      <c r="GR35" s="930"/>
      <c r="GS35" s="930"/>
      <c r="GT35" s="930"/>
      <c r="GU35" s="930"/>
      <c r="GV35" s="930"/>
      <c r="GW35" s="930"/>
      <c r="GX35" s="930"/>
      <c r="GY35" s="930"/>
      <c r="GZ35" s="930"/>
      <c r="HA35" s="930"/>
      <c r="HB35" s="930"/>
      <c r="HC35" s="930"/>
      <c r="HD35" s="930"/>
      <c r="HE35" s="930"/>
      <c r="HF35" s="930"/>
      <c r="HG35" s="930"/>
      <c r="HH35" s="930"/>
      <c r="HI35" s="930"/>
      <c r="HJ35" s="930"/>
      <c r="HK35" s="930"/>
      <c r="HL35" s="930"/>
      <c r="HM35" s="930"/>
      <c r="HN35" s="930"/>
      <c r="HO35" s="930"/>
      <c r="HP35" s="930"/>
      <c r="HQ35" s="930"/>
      <c r="HR35" s="930"/>
      <c r="HS35" s="930"/>
      <c r="HT35" s="930"/>
      <c r="HU35" s="930"/>
      <c r="HV35" s="930"/>
      <c r="HW35" s="930"/>
      <c r="HX35" s="930"/>
      <c r="HY35" s="930"/>
      <c r="HZ35" s="930"/>
      <c r="IA35" s="930"/>
      <c r="IB35" s="930"/>
      <c r="IC35" s="930"/>
      <c r="ID35" s="930"/>
      <c r="IE35" s="930"/>
      <c r="IF35" s="930"/>
      <c r="IG35" s="930"/>
      <c r="IH35" s="930"/>
      <c r="II35" s="930"/>
      <c r="IJ35" s="930"/>
      <c r="IK35" s="930"/>
      <c r="IL35" s="930"/>
      <c r="IM35" s="930"/>
      <c r="IN35" s="930"/>
      <c r="IO35" s="930"/>
      <c r="IP35" s="930"/>
      <c r="IQ35" s="930"/>
      <c r="IR35" s="930"/>
      <c r="IS35" s="930"/>
      <c r="IT35" s="930"/>
      <c r="IU35" s="930"/>
      <c r="IV35" s="930"/>
    </row>
    <row r="36" spans="1:256">
      <c r="B36" s="932"/>
      <c r="C36" s="932"/>
      <c r="D36" s="932"/>
      <c r="E36" s="932"/>
      <c r="F36" s="932"/>
      <c r="G36" s="932"/>
      <c r="H36" s="932"/>
      <c r="I36" s="932"/>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0"/>
      <c r="AY36" s="930"/>
      <c r="AZ36" s="930"/>
      <c r="BA36" s="930"/>
      <c r="BB36" s="930"/>
      <c r="BC36" s="930"/>
      <c r="BD36" s="930"/>
      <c r="BE36" s="930"/>
      <c r="BF36" s="930"/>
      <c r="BG36" s="930"/>
      <c r="BH36" s="930"/>
      <c r="BI36" s="930"/>
      <c r="BJ36" s="930"/>
      <c r="BK36" s="930"/>
      <c r="BL36" s="930"/>
      <c r="BM36" s="930"/>
      <c r="BN36" s="930"/>
      <c r="BO36" s="930"/>
      <c r="BP36" s="930"/>
      <c r="BQ36" s="930"/>
      <c r="BR36" s="930"/>
      <c r="BS36" s="930"/>
      <c r="BT36" s="930"/>
      <c r="BU36" s="930"/>
      <c r="BV36" s="930"/>
      <c r="BW36" s="930"/>
      <c r="BX36" s="930"/>
      <c r="BY36" s="930"/>
      <c r="BZ36" s="930"/>
      <c r="CA36" s="930"/>
      <c r="CB36" s="930"/>
      <c r="CC36" s="930"/>
      <c r="CD36" s="930"/>
      <c r="CE36" s="930"/>
      <c r="CF36" s="930"/>
      <c r="CG36" s="930"/>
      <c r="CH36" s="930"/>
      <c r="CI36" s="930"/>
      <c r="CJ36" s="930"/>
      <c r="CK36" s="930"/>
      <c r="CL36" s="930"/>
      <c r="CM36" s="930"/>
      <c r="CN36" s="930"/>
      <c r="CO36" s="930"/>
      <c r="CP36" s="930"/>
      <c r="CQ36" s="930"/>
      <c r="CR36" s="930"/>
      <c r="CS36" s="930"/>
      <c r="CT36" s="930"/>
      <c r="CU36" s="930"/>
      <c r="CV36" s="930"/>
      <c r="CW36" s="930"/>
      <c r="CX36" s="930"/>
      <c r="CY36" s="930"/>
      <c r="CZ36" s="930"/>
      <c r="DA36" s="930"/>
      <c r="DB36" s="930"/>
      <c r="DC36" s="930"/>
      <c r="DD36" s="930"/>
      <c r="DE36" s="930"/>
      <c r="DF36" s="930"/>
      <c r="DG36" s="930"/>
      <c r="DH36" s="930"/>
      <c r="DI36" s="930"/>
      <c r="DJ36" s="930"/>
      <c r="DK36" s="930"/>
      <c r="DL36" s="930"/>
      <c r="DM36" s="930"/>
      <c r="DN36" s="930"/>
      <c r="DO36" s="930"/>
      <c r="DP36" s="930"/>
      <c r="DQ36" s="930"/>
      <c r="DR36" s="930"/>
      <c r="DS36" s="930"/>
      <c r="DT36" s="930"/>
      <c r="DU36" s="930"/>
      <c r="DV36" s="930"/>
      <c r="DW36" s="930"/>
      <c r="DX36" s="930"/>
      <c r="DY36" s="930"/>
      <c r="DZ36" s="930"/>
      <c r="EA36" s="930"/>
      <c r="EB36" s="930"/>
      <c r="EC36" s="930"/>
      <c r="ED36" s="930"/>
      <c r="EE36" s="930"/>
      <c r="EF36" s="930"/>
      <c r="EG36" s="930"/>
      <c r="EH36" s="930"/>
      <c r="EI36" s="930"/>
      <c r="EJ36" s="930"/>
      <c r="EK36" s="930"/>
      <c r="EL36" s="930"/>
      <c r="EM36" s="930"/>
      <c r="EN36" s="930"/>
      <c r="EO36" s="930"/>
      <c r="EP36" s="930"/>
      <c r="EQ36" s="930"/>
      <c r="ER36" s="930"/>
      <c r="ES36" s="930"/>
      <c r="ET36" s="930"/>
      <c r="EU36" s="930"/>
      <c r="EV36" s="930"/>
      <c r="EW36" s="930"/>
      <c r="EX36" s="930"/>
      <c r="EY36" s="930"/>
      <c r="EZ36" s="930"/>
      <c r="FA36" s="930"/>
      <c r="FB36" s="930"/>
      <c r="FC36" s="930"/>
      <c r="FD36" s="930"/>
      <c r="FE36" s="930"/>
      <c r="FF36" s="930"/>
      <c r="FG36" s="930"/>
      <c r="FH36" s="930"/>
      <c r="FI36" s="930"/>
      <c r="FJ36" s="930"/>
      <c r="FK36" s="930"/>
      <c r="FL36" s="930"/>
      <c r="FM36" s="930"/>
      <c r="FN36" s="930"/>
      <c r="FO36" s="930"/>
      <c r="FP36" s="930"/>
      <c r="FQ36" s="930"/>
      <c r="FR36" s="930"/>
      <c r="FS36" s="930"/>
      <c r="FT36" s="930"/>
      <c r="FU36" s="930"/>
      <c r="FV36" s="930"/>
      <c r="FW36" s="930"/>
      <c r="FX36" s="930"/>
      <c r="FY36" s="930"/>
      <c r="FZ36" s="930"/>
      <c r="GA36" s="930"/>
      <c r="GB36" s="930"/>
      <c r="GC36" s="930"/>
      <c r="GD36" s="930"/>
      <c r="GE36" s="930"/>
      <c r="GF36" s="930"/>
      <c r="GG36" s="930"/>
      <c r="GH36" s="930"/>
      <c r="GI36" s="930"/>
      <c r="GJ36" s="930"/>
      <c r="GK36" s="930"/>
      <c r="GL36" s="930"/>
      <c r="GM36" s="930"/>
      <c r="GN36" s="930"/>
      <c r="GO36" s="930"/>
      <c r="GP36" s="930"/>
      <c r="GQ36" s="930"/>
      <c r="GR36" s="930"/>
      <c r="GS36" s="930"/>
      <c r="GT36" s="930"/>
      <c r="GU36" s="930"/>
      <c r="GV36" s="930"/>
      <c r="GW36" s="930"/>
      <c r="GX36" s="930"/>
      <c r="GY36" s="930"/>
      <c r="GZ36" s="930"/>
      <c r="HA36" s="930"/>
      <c r="HB36" s="930"/>
      <c r="HC36" s="930"/>
      <c r="HD36" s="930"/>
      <c r="HE36" s="930"/>
      <c r="HF36" s="930"/>
      <c r="HG36" s="930"/>
      <c r="HH36" s="930"/>
      <c r="HI36" s="930"/>
      <c r="HJ36" s="930"/>
      <c r="HK36" s="930"/>
      <c r="HL36" s="930"/>
      <c r="HM36" s="930"/>
      <c r="HN36" s="930"/>
      <c r="HO36" s="930"/>
      <c r="HP36" s="930"/>
      <c r="HQ36" s="930"/>
      <c r="HR36" s="930"/>
      <c r="HS36" s="930"/>
      <c r="HT36" s="930"/>
      <c r="HU36" s="930"/>
      <c r="HV36" s="930"/>
      <c r="HW36" s="930"/>
      <c r="HX36" s="930"/>
      <c r="HY36" s="930"/>
      <c r="HZ36" s="930"/>
      <c r="IA36" s="930"/>
      <c r="IB36" s="930"/>
      <c r="IC36" s="930"/>
      <c r="ID36" s="930"/>
      <c r="IE36" s="930"/>
      <c r="IF36" s="930"/>
      <c r="IG36" s="930"/>
      <c r="IH36" s="930"/>
      <c r="II36" s="930"/>
      <c r="IJ36" s="930"/>
      <c r="IK36" s="930"/>
      <c r="IL36" s="930"/>
      <c r="IM36" s="930"/>
      <c r="IN36" s="930"/>
      <c r="IO36" s="930"/>
      <c r="IP36" s="930"/>
      <c r="IQ36" s="930"/>
      <c r="IR36" s="930"/>
      <c r="IS36" s="930"/>
      <c r="IT36" s="930"/>
      <c r="IU36" s="930"/>
      <c r="IV36" s="930"/>
    </row>
    <row r="37" spans="1:256">
      <c r="A37" s="933" t="s">
        <v>1113</v>
      </c>
      <c r="B37" s="932"/>
      <c r="C37" s="930"/>
      <c r="D37" s="932"/>
      <c r="E37" s="1569" t="s">
        <v>384</v>
      </c>
      <c r="F37" s="1569"/>
      <c r="G37" s="932"/>
      <c r="H37" s="932"/>
      <c r="I37" s="932"/>
      <c r="J37" s="930"/>
      <c r="K37" s="930"/>
      <c r="L37" s="930"/>
      <c r="M37" s="930"/>
      <c r="N37" s="930"/>
      <c r="O37" s="930"/>
      <c r="P37" s="930"/>
      <c r="Q37" s="930"/>
      <c r="R37" s="930"/>
      <c r="S37" s="930"/>
      <c r="T37" s="930"/>
      <c r="U37" s="930"/>
      <c r="V37" s="930"/>
      <c r="W37" s="930"/>
      <c r="X37" s="930"/>
      <c r="Y37" s="930"/>
      <c r="Z37" s="930"/>
      <c r="AA37" s="930"/>
      <c r="AB37" s="930"/>
      <c r="AC37" s="930"/>
      <c r="AD37" s="930"/>
      <c r="AE37" s="930"/>
      <c r="AF37" s="930"/>
      <c r="AG37" s="930"/>
      <c r="AH37" s="930"/>
      <c r="AI37" s="930"/>
      <c r="AJ37" s="930"/>
      <c r="AK37" s="930"/>
      <c r="AL37" s="930"/>
      <c r="AM37" s="930"/>
      <c r="AN37" s="930"/>
      <c r="AO37" s="930"/>
      <c r="AP37" s="930"/>
      <c r="AQ37" s="930"/>
      <c r="AR37" s="930"/>
      <c r="AS37" s="930"/>
      <c r="AT37" s="930"/>
      <c r="AU37" s="930"/>
      <c r="AV37" s="930"/>
      <c r="AW37" s="930"/>
      <c r="AX37" s="930"/>
      <c r="AY37" s="930"/>
      <c r="AZ37" s="930"/>
      <c r="BA37" s="930"/>
      <c r="BB37" s="930"/>
      <c r="BC37" s="930"/>
      <c r="BD37" s="930"/>
      <c r="BE37" s="930"/>
      <c r="BF37" s="930"/>
      <c r="BG37" s="930"/>
      <c r="BH37" s="930"/>
      <c r="BI37" s="930"/>
      <c r="BJ37" s="930"/>
      <c r="BK37" s="930"/>
      <c r="BL37" s="930"/>
      <c r="BM37" s="930"/>
      <c r="BN37" s="930"/>
      <c r="BO37" s="930"/>
      <c r="BP37" s="930"/>
      <c r="BQ37" s="930"/>
      <c r="BR37" s="930"/>
      <c r="BS37" s="930"/>
      <c r="BT37" s="930"/>
      <c r="BU37" s="930"/>
      <c r="BV37" s="930"/>
      <c r="BW37" s="930"/>
      <c r="BX37" s="930"/>
      <c r="BY37" s="930"/>
      <c r="BZ37" s="930"/>
      <c r="CA37" s="930"/>
      <c r="CB37" s="930"/>
      <c r="CC37" s="930"/>
      <c r="CD37" s="930"/>
      <c r="CE37" s="930"/>
      <c r="CF37" s="930"/>
      <c r="CG37" s="930"/>
      <c r="CH37" s="930"/>
      <c r="CI37" s="930"/>
      <c r="CJ37" s="930"/>
      <c r="CK37" s="930"/>
      <c r="CL37" s="930"/>
      <c r="CM37" s="930"/>
      <c r="CN37" s="930"/>
      <c r="CO37" s="930"/>
      <c r="CP37" s="930"/>
      <c r="CQ37" s="930"/>
      <c r="CR37" s="930"/>
      <c r="CS37" s="930"/>
      <c r="CT37" s="930"/>
      <c r="CU37" s="930"/>
      <c r="CV37" s="930"/>
      <c r="CW37" s="930"/>
      <c r="CX37" s="930"/>
      <c r="CY37" s="930"/>
      <c r="CZ37" s="930"/>
      <c r="DA37" s="930"/>
      <c r="DB37" s="930"/>
      <c r="DC37" s="930"/>
      <c r="DD37" s="930"/>
      <c r="DE37" s="930"/>
      <c r="DF37" s="930"/>
      <c r="DG37" s="930"/>
      <c r="DH37" s="930"/>
      <c r="DI37" s="930"/>
      <c r="DJ37" s="930"/>
      <c r="DK37" s="930"/>
      <c r="DL37" s="930"/>
      <c r="DM37" s="930"/>
      <c r="DN37" s="930"/>
      <c r="DO37" s="930"/>
      <c r="DP37" s="930"/>
      <c r="DQ37" s="930"/>
      <c r="DR37" s="930"/>
      <c r="DS37" s="930"/>
      <c r="DT37" s="930"/>
      <c r="DU37" s="930"/>
      <c r="DV37" s="930"/>
      <c r="DW37" s="930"/>
      <c r="DX37" s="930"/>
      <c r="DY37" s="930"/>
      <c r="DZ37" s="930"/>
      <c r="EA37" s="930"/>
      <c r="EB37" s="930"/>
      <c r="EC37" s="930"/>
      <c r="ED37" s="930"/>
      <c r="EE37" s="930"/>
      <c r="EF37" s="930"/>
      <c r="EG37" s="930"/>
      <c r="EH37" s="930"/>
      <c r="EI37" s="930"/>
      <c r="EJ37" s="930"/>
      <c r="EK37" s="930"/>
      <c r="EL37" s="930"/>
      <c r="EM37" s="930"/>
      <c r="EN37" s="930"/>
      <c r="EO37" s="930"/>
      <c r="EP37" s="930"/>
      <c r="EQ37" s="930"/>
      <c r="ER37" s="930"/>
      <c r="ES37" s="930"/>
      <c r="ET37" s="930"/>
      <c r="EU37" s="930"/>
      <c r="EV37" s="930"/>
      <c r="EW37" s="930"/>
      <c r="EX37" s="930"/>
      <c r="EY37" s="930"/>
      <c r="EZ37" s="930"/>
      <c r="FA37" s="930"/>
      <c r="FB37" s="930"/>
      <c r="FC37" s="930"/>
      <c r="FD37" s="930"/>
      <c r="FE37" s="930"/>
      <c r="FF37" s="930"/>
      <c r="FG37" s="930"/>
      <c r="FH37" s="930"/>
      <c r="FI37" s="930"/>
      <c r="FJ37" s="930"/>
      <c r="FK37" s="930"/>
      <c r="FL37" s="930"/>
      <c r="FM37" s="930"/>
      <c r="FN37" s="930"/>
      <c r="FO37" s="930"/>
      <c r="FP37" s="930"/>
      <c r="FQ37" s="930"/>
      <c r="FR37" s="930"/>
      <c r="FS37" s="930"/>
      <c r="FT37" s="930"/>
      <c r="FU37" s="930"/>
      <c r="FV37" s="930"/>
      <c r="FW37" s="930"/>
      <c r="FX37" s="930"/>
      <c r="FY37" s="930"/>
      <c r="FZ37" s="930"/>
      <c r="GA37" s="930"/>
      <c r="GB37" s="930"/>
      <c r="GC37" s="930"/>
      <c r="GD37" s="930"/>
      <c r="GE37" s="930"/>
      <c r="GF37" s="930"/>
      <c r="GG37" s="930"/>
      <c r="GH37" s="930"/>
      <c r="GI37" s="930"/>
      <c r="GJ37" s="930"/>
      <c r="GK37" s="930"/>
      <c r="GL37" s="930"/>
      <c r="GM37" s="930"/>
      <c r="GN37" s="930"/>
      <c r="GO37" s="930"/>
      <c r="GP37" s="930"/>
      <c r="GQ37" s="930"/>
      <c r="GR37" s="930"/>
      <c r="GS37" s="930"/>
      <c r="GT37" s="930"/>
      <c r="GU37" s="930"/>
      <c r="GV37" s="930"/>
      <c r="GW37" s="930"/>
      <c r="GX37" s="930"/>
      <c r="GY37" s="930"/>
      <c r="GZ37" s="930"/>
      <c r="HA37" s="930"/>
      <c r="HB37" s="930"/>
      <c r="HC37" s="930"/>
      <c r="HD37" s="930"/>
      <c r="HE37" s="930"/>
      <c r="HF37" s="930"/>
      <c r="HG37" s="930"/>
      <c r="HH37" s="930"/>
      <c r="HI37" s="930"/>
      <c r="HJ37" s="930"/>
      <c r="HK37" s="930"/>
      <c r="HL37" s="930"/>
      <c r="HM37" s="930"/>
      <c r="HN37" s="930"/>
      <c r="HO37" s="930"/>
      <c r="HP37" s="930"/>
      <c r="HQ37" s="930"/>
      <c r="HR37" s="930"/>
      <c r="HS37" s="930"/>
      <c r="HT37" s="930"/>
      <c r="HU37" s="930"/>
      <c r="HV37" s="930"/>
      <c r="HW37" s="930"/>
      <c r="HX37" s="930"/>
      <c r="HY37" s="930"/>
      <c r="HZ37" s="930"/>
      <c r="IA37" s="930"/>
      <c r="IB37" s="930"/>
      <c r="IC37" s="930"/>
      <c r="ID37" s="930"/>
      <c r="IE37" s="930"/>
      <c r="IF37" s="930"/>
      <c r="IG37" s="930"/>
      <c r="IH37" s="930"/>
      <c r="II37" s="930"/>
      <c r="IJ37" s="930"/>
      <c r="IK37" s="930"/>
      <c r="IL37" s="930"/>
      <c r="IM37" s="930"/>
      <c r="IN37" s="930"/>
      <c r="IO37" s="930"/>
      <c r="IP37" s="930"/>
      <c r="IQ37" s="930"/>
      <c r="IR37" s="930"/>
      <c r="IS37" s="930"/>
      <c r="IT37" s="930"/>
      <c r="IU37" s="930"/>
      <c r="IV37" s="930"/>
    </row>
    <row r="38" spans="1:256">
      <c r="A38" s="935">
        <f>+A34+1</f>
        <v>20</v>
      </c>
      <c r="B38" s="936" t="s">
        <v>1468</v>
      </c>
      <c r="C38" s="936"/>
      <c r="D38" s="936"/>
      <c r="E38" s="936" t="s">
        <v>577</v>
      </c>
      <c r="F38" s="932"/>
      <c r="G38" s="930"/>
      <c r="H38" s="869">
        <v>0</v>
      </c>
      <c r="I38" s="932"/>
      <c r="J38" s="930"/>
      <c r="K38" s="930"/>
      <c r="L38" s="930"/>
      <c r="M38" s="930"/>
      <c r="N38" s="930"/>
      <c r="O38" s="930"/>
      <c r="P38" s="930"/>
      <c r="Q38" s="930"/>
      <c r="R38" s="930"/>
      <c r="S38" s="930"/>
      <c r="T38" s="930"/>
      <c r="U38" s="930"/>
      <c r="V38" s="930"/>
      <c r="W38" s="930"/>
      <c r="X38" s="930"/>
      <c r="Y38" s="930"/>
      <c r="Z38" s="930"/>
      <c r="AA38" s="930"/>
      <c r="AB38" s="930"/>
      <c r="AC38" s="930"/>
      <c r="AD38" s="930"/>
      <c r="AE38" s="930"/>
      <c r="AF38" s="930"/>
      <c r="AG38" s="930"/>
      <c r="AH38" s="930"/>
      <c r="AI38" s="930"/>
      <c r="AJ38" s="930"/>
      <c r="AK38" s="930"/>
      <c r="AL38" s="930"/>
      <c r="AM38" s="930"/>
      <c r="AN38" s="930"/>
      <c r="AO38" s="930"/>
      <c r="AP38" s="930"/>
      <c r="AQ38" s="930"/>
      <c r="AR38" s="930"/>
      <c r="AS38" s="930"/>
      <c r="AT38" s="930"/>
      <c r="AU38" s="930"/>
      <c r="AV38" s="930"/>
      <c r="AW38" s="930"/>
      <c r="AX38" s="930"/>
      <c r="AY38" s="930"/>
      <c r="AZ38" s="930"/>
      <c r="BA38" s="930"/>
      <c r="BB38" s="930"/>
      <c r="BC38" s="930"/>
      <c r="BD38" s="930"/>
      <c r="BE38" s="930"/>
      <c r="BF38" s="930"/>
      <c r="BG38" s="930"/>
      <c r="BH38" s="930"/>
      <c r="BI38" s="930"/>
      <c r="BJ38" s="930"/>
      <c r="BK38" s="930"/>
      <c r="BL38" s="930"/>
      <c r="BM38" s="930"/>
      <c r="BN38" s="930"/>
      <c r="BO38" s="930"/>
      <c r="BP38" s="930"/>
      <c r="BQ38" s="930"/>
      <c r="BR38" s="930"/>
      <c r="BS38" s="930"/>
      <c r="BT38" s="930"/>
      <c r="BU38" s="930"/>
      <c r="BV38" s="930"/>
      <c r="BW38" s="930"/>
      <c r="BX38" s="930"/>
      <c r="BY38" s="930"/>
      <c r="BZ38" s="930"/>
      <c r="CA38" s="930"/>
      <c r="CB38" s="930"/>
      <c r="CC38" s="930"/>
      <c r="CD38" s="930"/>
      <c r="CE38" s="930"/>
      <c r="CF38" s="930"/>
      <c r="CG38" s="930"/>
      <c r="CH38" s="930"/>
      <c r="CI38" s="930"/>
      <c r="CJ38" s="930"/>
      <c r="CK38" s="930"/>
      <c r="CL38" s="930"/>
      <c r="CM38" s="930"/>
      <c r="CN38" s="930"/>
      <c r="CO38" s="930"/>
      <c r="CP38" s="930"/>
      <c r="CQ38" s="930"/>
      <c r="CR38" s="930"/>
      <c r="CS38" s="930"/>
      <c r="CT38" s="930"/>
      <c r="CU38" s="930"/>
      <c r="CV38" s="930"/>
      <c r="CW38" s="930"/>
      <c r="CX38" s="930"/>
      <c r="CY38" s="930"/>
      <c r="CZ38" s="930"/>
      <c r="DA38" s="930"/>
      <c r="DB38" s="930"/>
      <c r="DC38" s="930"/>
      <c r="DD38" s="930"/>
      <c r="DE38" s="930"/>
      <c r="DF38" s="930"/>
      <c r="DG38" s="930"/>
      <c r="DH38" s="930"/>
      <c r="DI38" s="930"/>
      <c r="DJ38" s="930"/>
      <c r="DK38" s="930"/>
      <c r="DL38" s="930"/>
      <c r="DM38" s="930"/>
      <c r="DN38" s="930"/>
      <c r="DO38" s="930"/>
      <c r="DP38" s="930"/>
      <c r="DQ38" s="930"/>
      <c r="DR38" s="930"/>
      <c r="DS38" s="930"/>
      <c r="DT38" s="930"/>
      <c r="DU38" s="930"/>
      <c r="DV38" s="930"/>
      <c r="DW38" s="930"/>
      <c r="DX38" s="930"/>
      <c r="DY38" s="930"/>
      <c r="DZ38" s="930"/>
      <c r="EA38" s="930"/>
      <c r="EB38" s="930"/>
      <c r="EC38" s="930"/>
      <c r="ED38" s="930"/>
      <c r="EE38" s="930"/>
      <c r="EF38" s="930"/>
      <c r="EG38" s="930"/>
      <c r="EH38" s="930"/>
      <c r="EI38" s="930"/>
      <c r="EJ38" s="930"/>
      <c r="EK38" s="930"/>
      <c r="EL38" s="930"/>
      <c r="EM38" s="930"/>
      <c r="EN38" s="930"/>
      <c r="EO38" s="930"/>
      <c r="EP38" s="930"/>
      <c r="EQ38" s="930"/>
      <c r="ER38" s="930"/>
      <c r="ES38" s="930"/>
      <c r="ET38" s="930"/>
      <c r="EU38" s="930"/>
      <c r="EV38" s="930"/>
      <c r="EW38" s="930"/>
      <c r="EX38" s="930"/>
      <c r="EY38" s="930"/>
      <c r="EZ38" s="930"/>
      <c r="FA38" s="930"/>
      <c r="FB38" s="930"/>
      <c r="FC38" s="930"/>
      <c r="FD38" s="930"/>
      <c r="FE38" s="930"/>
      <c r="FF38" s="930"/>
      <c r="FG38" s="930"/>
      <c r="FH38" s="930"/>
      <c r="FI38" s="930"/>
      <c r="FJ38" s="930"/>
      <c r="FK38" s="930"/>
      <c r="FL38" s="930"/>
      <c r="FM38" s="930"/>
      <c r="FN38" s="930"/>
      <c r="FO38" s="930"/>
      <c r="FP38" s="930"/>
      <c r="FQ38" s="930"/>
      <c r="FR38" s="930"/>
      <c r="FS38" s="930"/>
      <c r="FT38" s="930"/>
      <c r="FU38" s="930"/>
      <c r="FV38" s="930"/>
      <c r="FW38" s="930"/>
      <c r="FX38" s="930"/>
      <c r="FY38" s="930"/>
      <c r="FZ38" s="930"/>
      <c r="GA38" s="930"/>
      <c r="GB38" s="930"/>
      <c r="GC38" s="930"/>
      <c r="GD38" s="930"/>
      <c r="GE38" s="930"/>
      <c r="GF38" s="930"/>
      <c r="GG38" s="930"/>
      <c r="GH38" s="930"/>
      <c r="GI38" s="930"/>
      <c r="GJ38" s="930"/>
      <c r="GK38" s="930"/>
      <c r="GL38" s="930"/>
      <c r="GM38" s="930"/>
      <c r="GN38" s="930"/>
      <c r="GO38" s="930"/>
      <c r="GP38" s="930"/>
      <c r="GQ38" s="930"/>
      <c r="GR38" s="930"/>
      <c r="GS38" s="930"/>
      <c r="GT38" s="930"/>
      <c r="GU38" s="930"/>
      <c r="GV38" s="930"/>
      <c r="GW38" s="930"/>
      <c r="GX38" s="930"/>
      <c r="GY38" s="930"/>
      <c r="GZ38" s="930"/>
      <c r="HA38" s="930"/>
      <c r="HB38" s="930"/>
      <c r="HC38" s="930"/>
      <c r="HD38" s="930"/>
      <c r="HE38" s="930"/>
      <c r="HF38" s="930"/>
      <c r="HG38" s="930"/>
      <c r="HH38" s="930"/>
      <c r="HI38" s="930"/>
      <c r="HJ38" s="930"/>
      <c r="HK38" s="930"/>
      <c r="HL38" s="930"/>
      <c r="HM38" s="930"/>
      <c r="HN38" s="930"/>
      <c r="HO38" s="930"/>
      <c r="HP38" s="930"/>
      <c r="HQ38" s="930"/>
      <c r="HR38" s="930"/>
      <c r="HS38" s="930"/>
      <c r="HT38" s="930"/>
      <c r="HU38" s="930"/>
      <c r="HV38" s="930"/>
      <c r="HW38" s="930"/>
      <c r="HX38" s="930"/>
      <c r="HY38" s="930"/>
      <c r="HZ38" s="930"/>
      <c r="IA38" s="930"/>
      <c r="IB38" s="930"/>
      <c r="IC38" s="930"/>
      <c r="ID38" s="930"/>
      <c r="IE38" s="930"/>
      <c r="IF38" s="930"/>
      <c r="IG38" s="930"/>
      <c r="IH38" s="930"/>
      <c r="II38" s="930"/>
      <c r="IJ38" s="930"/>
      <c r="IK38" s="930"/>
      <c r="IL38" s="930"/>
      <c r="IM38" s="930"/>
      <c r="IN38" s="930"/>
      <c r="IO38" s="930"/>
      <c r="IP38" s="930"/>
      <c r="IQ38" s="930"/>
      <c r="IR38" s="930"/>
      <c r="IS38" s="930"/>
      <c r="IT38" s="930"/>
      <c r="IU38" s="930"/>
      <c r="IV38" s="930"/>
    </row>
    <row r="39" spans="1:256">
      <c r="A39" s="935">
        <f>+A38+1</f>
        <v>21</v>
      </c>
      <c r="B39" s="936" t="s">
        <v>1469</v>
      </c>
      <c r="C39" s="936"/>
      <c r="D39" s="936"/>
      <c r="E39" s="936" t="s">
        <v>578</v>
      </c>
      <c r="F39" s="932"/>
      <c r="G39" s="930"/>
      <c r="H39" s="869">
        <v>0</v>
      </c>
      <c r="I39" s="932"/>
      <c r="J39" s="930"/>
      <c r="K39" s="930"/>
      <c r="L39" s="930"/>
      <c r="M39" s="930"/>
      <c r="N39" s="930"/>
      <c r="O39" s="930"/>
      <c r="P39" s="930"/>
      <c r="Q39" s="930"/>
      <c r="R39" s="930"/>
      <c r="S39" s="930"/>
      <c r="T39" s="930"/>
      <c r="U39" s="930"/>
      <c r="V39" s="930"/>
      <c r="W39" s="930"/>
      <c r="X39" s="930"/>
      <c r="Y39" s="930"/>
      <c r="Z39" s="930"/>
      <c r="AA39" s="930"/>
      <c r="AB39" s="930"/>
      <c r="AC39" s="930"/>
      <c r="AD39" s="930"/>
      <c r="AE39" s="930"/>
      <c r="AF39" s="930"/>
      <c r="AG39" s="930"/>
      <c r="AH39" s="930"/>
      <c r="AI39" s="930"/>
      <c r="AJ39" s="930"/>
      <c r="AK39" s="930"/>
      <c r="AL39" s="930"/>
      <c r="AM39" s="930"/>
      <c r="AN39" s="930"/>
      <c r="AO39" s="930"/>
      <c r="AP39" s="930"/>
      <c r="AQ39" s="930"/>
      <c r="AR39" s="930"/>
      <c r="AS39" s="930"/>
      <c r="AT39" s="930"/>
      <c r="AU39" s="930"/>
      <c r="AV39" s="930"/>
      <c r="AW39" s="930"/>
      <c r="AX39" s="930"/>
      <c r="AY39" s="930"/>
      <c r="AZ39" s="930"/>
      <c r="BA39" s="930"/>
      <c r="BB39" s="930"/>
      <c r="BC39" s="930"/>
      <c r="BD39" s="930"/>
      <c r="BE39" s="930"/>
      <c r="BF39" s="930"/>
      <c r="BG39" s="930"/>
      <c r="BH39" s="930"/>
      <c r="BI39" s="930"/>
      <c r="BJ39" s="930"/>
      <c r="BK39" s="930"/>
      <c r="BL39" s="930"/>
      <c r="BM39" s="930"/>
      <c r="BN39" s="930"/>
      <c r="BO39" s="930"/>
      <c r="BP39" s="930"/>
      <c r="BQ39" s="930"/>
      <c r="BR39" s="930"/>
      <c r="BS39" s="930"/>
      <c r="BT39" s="930"/>
      <c r="BU39" s="930"/>
      <c r="BV39" s="930"/>
      <c r="BW39" s="930"/>
      <c r="BX39" s="930"/>
      <c r="BY39" s="930"/>
      <c r="BZ39" s="930"/>
      <c r="CA39" s="930"/>
      <c r="CB39" s="930"/>
      <c r="CC39" s="930"/>
      <c r="CD39" s="930"/>
      <c r="CE39" s="930"/>
      <c r="CF39" s="930"/>
      <c r="CG39" s="930"/>
      <c r="CH39" s="930"/>
      <c r="CI39" s="930"/>
      <c r="CJ39" s="930"/>
      <c r="CK39" s="930"/>
      <c r="CL39" s="930"/>
      <c r="CM39" s="930"/>
      <c r="CN39" s="930"/>
      <c r="CO39" s="930"/>
      <c r="CP39" s="930"/>
      <c r="CQ39" s="930"/>
      <c r="CR39" s="930"/>
      <c r="CS39" s="930"/>
      <c r="CT39" s="930"/>
      <c r="CU39" s="930"/>
      <c r="CV39" s="930"/>
      <c r="CW39" s="930"/>
      <c r="CX39" s="930"/>
      <c r="CY39" s="930"/>
      <c r="CZ39" s="930"/>
      <c r="DA39" s="930"/>
      <c r="DB39" s="930"/>
      <c r="DC39" s="930"/>
      <c r="DD39" s="930"/>
      <c r="DE39" s="930"/>
      <c r="DF39" s="930"/>
      <c r="DG39" s="930"/>
      <c r="DH39" s="930"/>
      <c r="DI39" s="930"/>
      <c r="DJ39" s="930"/>
      <c r="DK39" s="930"/>
      <c r="DL39" s="930"/>
      <c r="DM39" s="930"/>
      <c r="DN39" s="930"/>
      <c r="DO39" s="930"/>
      <c r="DP39" s="930"/>
      <c r="DQ39" s="930"/>
      <c r="DR39" s="930"/>
      <c r="DS39" s="930"/>
      <c r="DT39" s="930"/>
      <c r="DU39" s="930"/>
      <c r="DV39" s="930"/>
      <c r="DW39" s="930"/>
      <c r="DX39" s="930"/>
      <c r="DY39" s="930"/>
      <c r="DZ39" s="930"/>
      <c r="EA39" s="930"/>
      <c r="EB39" s="930"/>
      <c r="EC39" s="930"/>
      <c r="ED39" s="930"/>
      <c r="EE39" s="930"/>
      <c r="EF39" s="930"/>
      <c r="EG39" s="930"/>
      <c r="EH39" s="930"/>
      <c r="EI39" s="930"/>
      <c r="EJ39" s="930"/>
      <c r="EK39" s="930"/>
      <c r="EL39" s="930"/>
      <c r="EM39" s="930"/>
      <c r="EN39" s="930"/>
      <c r="EO39" s="930"/>
      <c r="EP39" s="930"/>
      <c r="EQ39" s="930"/>
      <c r="ER39" s="930"/>
      <c r="ES39" s="930"/>
      <c r="ET39" s="930"/>
      <c r="EU39" s="930"/>
      <c r="EV39" s="930"/>
      <c r="EW39" s="930"/>
      <c r="EX39" s="930"/>
      <c r="EY39" s="930"/>
      <c r="EZ39" s="930"/>
      <c r="FA39" s="930"/>
      <c r="FB39" s="930"/>
      <c r="FC39" s="930"/>
      <c r="FD39" s="930"/>
      <c r="FE39" s="930"/>
      <c r="FF39" s="930"/>
      <c r="FG39" s="930"/>
      <c r="FH39" s="930"/>
      <c r="FI39" s="930"/>
      <c r="FJ39" s="930"/>
      <c r="FK39" s="930"/>
      <c r="FL39" s="930"/>
      <c r="FM39" s="930"/>
      <c r="FN39" s="930"/>
      <c r="FO39" s="930"/>
      <c r="FP39" s="930"/>
      <c r="FQ39" s="930"/>
      <c r="FR39" s="930"/>
      <c r="FS39" s="930"/>
      <c r="FT39" s="930"/>
      <c r="FU39" s="930"/>
      <c r="FV39" s="930"/>
      <c r="FW39" s="930"/>
      <c r="FX39" s="930"/>
      <c r="FY39" s="930"/>
      <c r="FZ39" s="930"/>
      <c r="GA39" s="930"/>
      <c r="GB39" s="930"/>
      <c r="GC39" s="930"/>
      <c r="GD39" s="930"/>
      <c r="GE39" s="930"/>
      <c r="GF39" s="930"/>
      <c r="GG39" s="930"/>
      <c r="GH39" s="930"/>
      <c r="GI39" s="930"/>
      <c r="GJ39" s="930"/>
      <c r="GK39" s="930"/>
      <c r="GL39" s="930"/>
      <c r="GM39" s="930"/>
      <c r="GN39" s="930"/>
      <c r="GO39" s="930"/>
      <c r="GP39" s="930"/>
      <c r="GQ39" s="930"/>
      <c r="GR39" s="930"/>
      <c r="GS39" s="930"/>
      <c r="GT39" s="930"/>
      <c r="GU39" s="930"/>
      <c r="GV39" s="930"/>
      <c r="GW39" s="930"/>
      <c r="GX39" s="930"/>
      <c r="GY39" s="930"/>
      <c r="GZ39" s="930"/>
      <c r="HA39" s="930"/>
      <c r="HB39" s="930"/>
      <c r="HC39" s="930"/>
      <c r="HD39" s="930"/>
      <c r="HE39" s="930"/>
      <c r="HF39" s="930"/>
      <c r="HG39" s="930"/>
      <c r="HH39" s="930"/>
      <c r="HI39" s="930"/>
      <c r="HJ39" s="930"/>
      <c r="HK39" s="930"/>
      <c r="HL39" s="930"/>
      <c r="HM39" s="930"/>
      <c r="HN39" s="930"/>
      <c r="HO39" s="930"/>
      <c r="HP39" s="930"/>
      <c r="HQ39" s="930"/>
      <c r="HR39" s="930"/>
      <c r="HS39" s="930"/>
      <c r="HT39" s="930"/>
      <c r="HU39" s="930"/>
      <c r="HV39" s="930"/>
      <c r="HW39" s="930"/>
      <c r="HX39" s="930"/>
      <c r="HY39" s="930"/>
      <c r="HZ39" s="930"/>
      <c r="IA39" s="930"/>
      <c r="IB39" s="930"/>
      <c r="IC39" s="930"/>
      <c r="ID39" s="930"/>
      <c r="IE39" s="930"/>
      <c r="IF39" s="930"/>
      <c r="IG39" s="930"/>
      <c r="IH39" s="930"/>
      <c r="II39" s="930"/>
      <c r="IJ39" s="930"/>
      <c r="IK39" s="930"/>
      <c r="IL39" s="930"/>
      <c r="IM39" s="930"/>
      <c r="IN39" s="930"/>
      <c r="IO39" s="930"/>
      <c r="IP39" s="930"/>
      <c r="IQ39" s="930"/>
      <c r="IR39" s="930"/>
      <c r="IS39" s="930"/>
      <c r="IT39" s="930"/>
      <c r="IU39" s="930"/>
      <c r="IV39" s="930"/>
    </row>
    <row r="40" spans="1:256">
      <c r="A40" s="935">
        <f>+A39+1</f>
        <v>22</v>
      </c>
      <c r="B40" s="936" t="s">
        <v>561</v>
      </c>
      <c r="C40" s="936"/>
      <c r="D40" s="936"/>
      <c r="E40" s="936" t="str">
        <f>"Line "&amp;A38&amp;" less Line "&amp;A39</f>
        <v>Line 20 less Line 21</v>
      </c>
      <c r="F40" s="932"/>
      <c r="G40" s="930"/>
      <c r="H40" s="937">
        <f>+H38-H39</f>
        <v>0</v>
      </c>
      <c r="I40" s="932"/>
      <c r="J40" s="930"/>
      <c r="K40" s="930"/>
      <c r="L40" s="930"/>
      <c r="M40" s="930"/>
      <c r="N40" s="930"/>
      <c r="O40" s="930"/>
      <c r="P40" s="930"/>
      <c r="Q40" s="930"/>
      <c r="R40" s="930"/>
      <c r="S40" s="930"/>
      <c r="T40" s="930"/>
      <c r="U40" s="930"/>
      <c r="V40" s="930"/>
      <c r="W40" s="930"/>
      <c r="X40" s="930"/>
      <c r="Y40" s="930"/>
      <c r="Z40" s="930"/>
      <c r="AA40" s="930"/>
      <c r="AB40" s="930"/>
      <c r="AC40" s="930"/>
      <c r="AD40" s="930"/>
      <c r="AE40" s="930"/>
      <c r="AF40" s="930"/>
      <c r="AG40" s="930"/>
      <c r="AH40" s="930"/>
      <c r="AI40" s="930"/>
      <c r="AJ40" s="930"/>
      <c r="AK40" s="930"/>
      <c r="AL40" s="930"/>
      <c r="AM40" s="930"/>
      <c r="AN40" s="930"/>
      <c r="AO40" s="930"/>
      <c r="AP40" s="930"/>
      <c r="AQ40" s="930"/>
      <c r="AR40" s="930"/>
      <c r="AS40" s="930"/>
      <c r="AT40" s="930"/>
      <c r="AU40" s="930"/>
      <c r="AV40" s="930"/>
      <c r="AW40" s="930"/>
      <c r="AX40" s="930"/>
      <c r="AY40" s="930"/>
      <c r="AZ40" s="930"/>
      <c r="BA40" s="930"/>
      <c r="BB40" s="930"/>
      <c r="BC40" s="930"/>
      <c r="BD40" s="930"/>
      <c r="BE40" s="930"/>
      <c r="BF40" s="930"/>
      <c r="BG40" s="930"/>
      <c r="BH40" s="930"/>
      <c r="BI40" s="930"/>
      <c r="BJ40" s="930"/>
      <c r="BK40" s="930"/>
      <c r="BL40" s="930"/>
      <c r="BM40" s="930"/>
      <c r="BN40" s="930"/>
      <c r="BO40" s="930"/>
      <c r="BP40" s="930"/>
      <c r="BQ40" s="930"/>
      <c r="BR40" s="930"/>
      <c r="BS40" s="930"/>
      <c r="BT40" s="930"/>
      <c r="BU40" s="930"/>
      <c r="BV40" s="930"/>
      <c r="BW40" s="930"/>
      <c r="BX40" s="930"/>
      <c r="BY40" s="930"/>
      <c r="BZ40" s="930"/>
      <c r="CA40" s="930"/>
      <c r="CB40" s="930"/>
      <c r="CC40" s="930"/>
      <c r="CD40" s="930"/>
      <c r="CE40" s="930"/>
      <c r="CF40" s="930"/>
      <c r="CG40" s="930"/>
      <c r="CH40" s="930"/>
      <c r="CI40" s="930"/>
      <c r="CJ40" s="930"/>
      <c r="CK40" s="930"/>
      <c r="CL40" s="930"/>
      <c r="CM40" s="930"/>
      <c r="CN40" s="930"/>
      <c r="CO40" s="930"/>
      <c r="CP40" s="930"/>
      <c r="CQ40" s="930"/>
      <c r="CR40" s="930"/>
      <c r="CS40" s="930"/>
      <c r="CT40" s="930"/>
      <c r="CU40" s="930"/>
      <c r="CV40" s="930"/>
      <c r="CW40" s="930"/>
      <c r="CX40" s="930"/>
      <c r="CY40" s="930"/>
      <c r="CZ40" s="930"/>
      <c r="DA40" s="930"/>
      <c r="DB40" s="930"/>
      <c r="DC40" s="930"/>
      <c r="DD40" s="930"/>
      <c r="DE40" s="930"/>
      <c r="DF40" s="930"/>
      <c r="DG40" s="930"/>
      <c r="DH40" s="930"/>
      <c r="DI40" s="930"/>
      <c r="DJ40" s="930"/>
      <c r="DK40" s="930"/>
      <c r="DL40" s="930"/>
      <c r="DM40" s="930"/>
      <c r="DN40" s="930"/>
      <c r="DO40" s="930"/>
      <c r="DP40" s="930"/>
      <c r="DQ40" s="930"/>
      <c r="DR40" s="930"/>
      <c r="DS40" s="930"/>
      <c r="DT40" s="930"/>
      <c r="DU40" s="930"/>
      <c r="DV40" s="930"/>
      <c r="DW40" s="930"/>
      <c r="DX40" s="930"/>
      <c r="DY40" s="930"/>
      <c r="DZ40" s="930"/>
      <c r="EA40" s="930"/>
      <c r="EB40" s="930"/>
      <c r="EC40" s="930"/>
      <c r="ED40" s="930"/>
      <c r="EE40" s="930"/>
      <c r="EF40" s="930"/>
      <c r="EG40" s="930"/>
      <c r="EH40" s="930"/>
      <c r="EI40" s="930"/>
      <c r="EJ40" s="930"/>
      <c r="EK40" s="930"/>
      <c r="EL40" s="930"/>
      <c r="EM40" s="930"/>
      <c r="EN40" s="930"/>
      <c r="EO40" s="930"/>
      <c r="EP40" s="930"/>
      <c r="EQ40" s="930"/>
      <c r="ER40" s="930"/>
      <c r="ES40" s="930"/>
      <c r="ET40" s="930"/>
      <c r="EU40" s="930"/>
      <c r="EV40" s="930"/>
      <c r="EW40" s="930"/>
      <c r="EX40" s="930"/>
      <c r="EY40" s="930"/>
      <c r="EZ40" s="930"/>
      <c r="FA40" s="930"/>
      <c r="FB40" s="930"/>
      <c r="FC40" s="930"/>
      <c r="FD40" s="930"/>
      <c r="FE40" s="930"/>
      <c r="FF40" s="930"/>
      <c r="FG40" s="930"/>
      <c r="FH40" s="930"/>
      <c r="FI40" s="930"/>
      <c r="FJ40" s="930"/>
      <c r="FK40" s="930"/>
      <c r="FL40" s="930"/>
      <c r="FM40" s="930"/>
      <c r="FN40" s="930"/>
      <c r="FO40" s="930"/>
      <c r="FP40" s="930"/>
      <c r="FQ40" s="930"/>
      <c r="FR40" s="930"/>
      <c r="FS40" s="930"/>
      <c r="FT40" s="930"/>
      <c r="FU40" s="930"/>
      <c r="FV40" s="930"/>
      <c r="FW40" s="930"/>
      <c r="FX40" s="930"/>
      <c r="FY40" s="930"/>
      <c r="FZ40" s="930"/>
      <c r="GA40" s="930"/>
      <c r="GB40" s="930"/>
      <c r="GC40" s="930"/>
      <c r="GD40" s="930"/>
      <c r="GE40" s="930"/>
      <c r="GF40" s="930"/>
      <c r="GG40" s="930"/>
      <c r="GH40" s="930"/>
      <c r="GI40" s="930"/>
      <c r="GJ40" s="930"/>
      <c r="GK40" s="930"/>
      <c r="GL40" s="930"/>
      <c r="GM40" s="930"/>
      <c r="GN40" s="930"/>
      <c r="GO40" s="930"/>
      <c r="GP40" s="930"/>
      <c r="GQ40" s="930"/>
      <c r="GR40" s="930"/>
      <c r="GS40" s="930"/>
      <c r="GT40" s="930"/>
      <c r="GU40" s="930"/>
      <c r="GV40" s="930"/>
      <c r="GW40" s="930"/>
      <c r="GX40" s="930"/>
      <c r="GY40" s="930"/>
      <c r="GZ40" s="930"/>
      <c r="HA40" s="930"/>
      <c r="HB40" s="930"/>
      <c r="HC40" s="930"/>
      <c r="HD40" s="930"/>
      <c r="HE40" s="930"/>
      <c r="HF40" s="930"/>
      <c r="HG40" s="930"/>
      <c r="HH40" s="930"/>
      <c r="HI40" s="930"/>
      <c r="HJ40" s="930"/>
      <c r="HK40" s="930"/>
      <c r="HL40" s="930"/>
      <c r="HM40" s="930"/>
      <c r="HN40" s="930"/>
      <c r="HO40" s="930"/>
      <c r="HP40" s="930"/>
      <c r="HQ40" s="930"/>
      <c r="HR40" s="930"/>
      <c r="HS40" s="930"/>
      <c r="HT40" s="930"/>
      <c r="HU40" s="930"/>
      <c r="HV40" s="930"/>
      <c r="HW40" s="930"/>
      <c r="HX40" s="930"/>
      <c r="HY40" s="930"/>
      <c r="HZ40" s="930"/>
      <c r="IA40" s="930"/>
      <c r="IB40" s="930"/>
      <c r="IC40" s="930"/>
      <c r="ID40" s="930"/>
      <c r="IE40" s="930"/>
      <c r="IF40" s="930"/>
      <c r="IG40" s="930"/>
      <c r="IH40" s="930"/>
      <c r="II40" s="930"/>
      <c r="IJ40" s="930"/>
      <c r="IK40" s="930"/>
      <c r="IL40" s="930"/>
      <c r="IM40" s="930"/>
      <c r="IN40" s="930"/>
      <c r="IO40" s="930"/>
      <c r="IP40" s="930"/>
      <c r="IQ40" s="930"/>
      <c r="IR40" s="930"/>
      <c r="IS40" s="930"/>
      <c r="IT40" s="930"/>
      <c r="IU40" s="930"/>
      <c r="IV40" s="930"/>
    </row>
    <row r="41" spans="1:256">
      <c r="A41" s="935">
        <f>+A40+1</f>
        <v>23</v>
      </c>
      <c r="B41" s="936" t="s">
        <v>562</v>
      </c>
      <c r="C41" s="936"/>
      <c r="D41" s="936"/>
      <c r="E41" s="936" t="str">
        <f>"Line "&amp;A40&amp;" / 12"</f>
        <v>Line 22 / 12</v>
      </c>
      <c r="F41" s="932"/>
      <c r="G41" s="930"/>
      <c r="H41" s="938">
        <f>+H40/12</f>
        <v>0</v>
      </c>
      <c r="I41" s="932"/>
      <c r="J41" s="930"/>
      <c r="K41" s="930"/>
      <c r="L41" s="930"/>
      <c r="M41" s="930"/>
      <c r="N41" s="930"/>
      <c r="O41" s="930"/>
      <c r="P41" s="930"/>
      <c r="Q41" s="930"/>
      <c r="R41" s="930"/>
      <c r="S41" s="930"/>
      <c r="T41" s="930"/>
      <c r="U41" s="930"/>
      <c r="V41" s="930"/>
      <c r="W41" s="930"/>
      <c r="X41" s="930"/>
      <c r="Y41" s="930"/>
      <c r="Z41" s="930"/>
      <c r="AA41" s="930"/>
      <c r="AB41" s="930"/>
      <c r="AC41" s="930"/>
      <c r="AD41" s="930"/>
      <c r="AE41" s="930"/>
      <c r="AF41" s="930"/>
      <c r="AG41" s="930"/>
      <c r="AH41" s="930"/>
      <c r="AI41" s="930"/>
      <c r="AJ41" s="930"/>
      <c r="AK41" s="930"/>
      <c r="AL41" s="930"/>
      <c r="AM41" s="930"/>
      <c r="AN41" s="930"/>
      <c r="AO41" s="930"/>
      <c r="AP41" s="930"/>
      <c r="AQ41" s="930"/>
      <c r="AR41" s="930"/>
      <c r="AS41" s="930"/>
      <c r="AT41" s="930"/>
      <c r="AU41" s="930"/>
      <c r="AV41" s="930"/>
      <c r="AW41" s="930"/>
      <c r="AX41" s="930"/>
      <c r="AY41" s="930"/>
      <c r="AZ41" s="930"/>
      <c r="BA41" s="930"/>
      <c r="BB41" s="930"/>
      <c r="BC41" s="930"/>
      <c r="BD41" s="930"/>
      <c r="BE41" s="930"/>
      <c r="BF41" s="930"/>
      <c r="BG41" s="930"/>
      <c r="BH41" s="930"/>
      <c r="BI41" s="930"/>
      <c r="BJ41" s="930"/>
      <c r="BK41" s="930"/>
      <c r="BL41" s="930"/>
      <c r="BM41" s="930"/>
      <c r="BN41" s="930"/>
      <c r="BO41" s="930"/>
      <c r="BP41" s="930"/>
      <c r="BQ41" s="930"/>
      <c r="BR41" s="930"/>
      <c r="BS41" s="930"/>
      <c r="BT41" s="930"/>
      <c r="BU41" s="930"/>
      <c r="BV41" s="930"/>
      <c r="BW41" s="930"/>
      <c r="BX41" s="930"/>
      <c r="BY41" s="930"/>
      <c r="BZ41" s="930"/>
      <c r="CA41" s="930"/>
      <c r="CB41" s="930"/>
      <c r="CC41" s="930"/>
      <c r="CD41" s="930"/>
      <c r="CE41" s="930"/>
      <c r="CF41" s="930"/>
      <c r="CG41" s="930"/>
      <c r="CH41" s="930"/>
      <c r="CI41" s="930"/>
      <c r="CJ41" s="930"/>
      <c r="CK41" s="930"/>
      <c r="CL41" s="930"/>
      <c r="CM41" s="930"/>
      <c r="CN41" s="930"/>
      <c r="CO41" s="930"/>
      <c r="CP41" s="930"/>
      <c r="CQ41" s="930"/>
      <c r="CR41" s="930"/>
      <c r="CS41" s="930"/>
      <c r="CT41" s="930"/>
      <c r="CU41" s="930"/>
      <c r="CV41" s="930"/>
      <c r="CW41" s="930"/>
      <c r="CX41" s="930"/>
      <c r="CY41" s="930"/>
      <c r="CZ41" s="930"/>
      <c r="DA41" s="930"/>
      <c r="DB41" s="930"/>
      <c r="DC41" s="930"/>
      <c r="DD41" s="930"/>
      <c r="DE41" s="930"/>
      <c r="DF41" s="930"/>
      <c r="DG41" s="930"/>
      <c r="DH41" s="930"/>
      <c r="DI41" s="930"/>
      <c r="DJ41" s="930"/>
      <c r="DK41" s="930"/>
      <c r="DL41" s="930"/>
      <c r="DM41" s="930"/>
      <c r="DN41" s="930"/>
      <c r="DO41" s="930"/>
      <c r="DP41" s="930"/>
      <c r="DQ41" s="930"/>
      <c r="DR41" s="930"/>
      <c r="DS41" s="930"/>
      <c r="DT41" s="930"/>
      <c r="DU41" s="930"/>
      <c r="DV41" s="930"/>
      <c r="DW41" s="930"/>
      <c r="DX41" s="930"/>
      <c r="DY41" s="930"/>
      <c r="DZ41" s="930"/>
      <c r="EA41" s="930"/>
      <c r="EB41" s="930"/>
      <c r="EC41" s="930"/>
      <c r="ED41" s="930"/>
      <c r="EE41" s="930"/>
      <c r="EF41" s="930"/>
      <c r="EG41" s="930"/>
      <c r="EH41" s="930"/>
      <c r="EI41" s="930"/>
      <c r="EJ41" s="930"/>
      <c r="EK41" s="930"/>
      <c r="EL41" s="930"/>
      <c r="EM41" s="930"/>
      <c r="EN41" s="930"/>
      <c r="EO41" s="930"/>
      <c r="EP41" s="930"/>
      <c r="EQ41" s="930"/>
      <c r="ER41" s="930"/>
      <c r="ES41" s="930"/>
      <c r="ET41" s="930"/>
      <c r="EU41" s="930"/>
      <c r="EV41" s="930"/>
      <c r="EW41" s="930"/>
      <c r="EX41" s="930"/>
      <c r="EY41" s="930"/>
      <c r="EZ41" s="930"/>
      <c r="FA41" s="930"/>
      <c r="FB41" s="930"/>
      <c r="FC41" s="930"/>
      <c r="FD41" s="930"/>
      <c r="FE41" s="930"/>
      <c r="FF41" s="930"/>
      <c r="FG41" s="930"/>
      <c r="FH41" s="930"/>
      <c r="FI41" s="930"/>
      <c r="FJ41" s="930"/>
      <c r="FK41" s="930"/>
      <c r="FL41" s="930"/>
      <c r="FM41" s="930"/>
      <c r="FN41" s="930"/>
      <c r="FO41" s="930"/>
      <c r="FP41" s="930"/>
      <c r="FQ41" s="930"/>
      <c r="FR41" s="930"/>
      <c r="FS41" s="930"/>
      <c r="FT41" s="930"/>
      <c r="FU41" s="930"/>
      <c r="FV41" s="930"/>
      <c r="FW41" s="930"/>
      <c r="FX41" s="930"/>
      <c r="FY41" s="930"/>
      <c r="FZ41" s="930"/>
      <c r="GA41" s="930"/>
      <c r="GB41" s="930"/>
      <c r="GC41" s="930"/>
      <c r="GD41" s="930"/>
      <c r="GE41" s="930"/>
      <c r="GF41" s="930"/>
      <c r="GG41" s="930"/>
      <c r="GH41" s="930"/>
      <c r="GI41" s="930"/>
      <c r="GJ41" s="930"/>
      <c r="GK41" s="930"/>
      <c r="GL41" s="930"/>
      <c r="GM41" s="930"/>
      <c r="GN41" s="930"/>
      <c r="GO41" s="930"/>
      <c r="GP41" s="930"/>
      <c r="GQ41" s="930"/>
      <c r="GR41" s="930"/>
      <c r="GS41" s="930"/>
      <c r="GT41" s="930"/>
      <c r="GU41" s="930"/>
      <c r="GV41" s="930"/>
      <c r="GW41" s="930"/>
      <c r="GX41" s="930"/>
      <c r="GY41" s="930"/>
      <c r="GZ41" s="930"/>
      <c r="HA41" s="930"/>
      <c r="HB41" s="930"/>
      <c r="HC41" s="930"/>
      <c r="HD41" s="930"/>
      <c r="HE41" s="930"/>
      <c r="HF41" s="930"/>
      <c r="HG41" s="930"/>
      <c r="HH41" s="930"/>
      <c r="HI41" s="930"/>
      <c r="HJ41" s="930"/>
      <c r="HK41" s="930"/>
      <c r="HL41" s="930"/>
      <c r="HM41" s="930"/>
      <c r="HN41" s="930"/>
      <c r="HO41" s="930"/>
      <c r="HP41" s="930"/>
      <c r="HQ41" s="930"/>
      <c r="HR41" s="930"/>
      <c r="HS41" s="930"/>
      <c r="HT41" s="930"/>
      <c r="HU41" s="930"/>
      <c r="HV41" s="930"/>
      <c r="HW41" s="930"/>
      <c r="HX41" s="930"/>
      <c r="HY41" s="930"/>
      <c r="HZ41" s="930"/>
      <c r="IA41" s="930"/>
      <c r="IB41" s="930"/>
      <c r="IC41" s="930"/>
      <c r="ID41" s="930"/>
      <c r="IE41" s="930"/>
      <c r="IF41" s="930"/>
      <c r="IG41" s="930"/>
      <c r="IH41" s="930"/>
      <c r="II41" s="930"/>
      <c r="IJ41" s="930"/>
      <c r="IK41" s="930"/>
      <c r="IL41" s="930"/>
      <c r="IM41" s="930"/>
      <c r="IN41" s="930"/>
      <c r="IO41" s="930"/>
      <c r="IP41" s="930"/>
      <c r="IQ41" s="930"/>
      <c r="IR41" s="930"/>
      <c r="IS41" s="930"/>
      <c r="IT41" s="930"/>
      <c r="IU41" s="930"/>
      <c r="IV41" s="930"/>
    </row>
    <row r="42" spans="1:256">
      <c r="A42" s="936"/>
      <c r="B42" s="936"/>
      <c r="C42" s="936"/>
      <c r="D42" s="936"/>
      <c r="E42" s="932"/>
      <c r="F42" s="932"/>
      <c r="G42" s="932"/>
      <c r="H42" s="932"/>
      <c r="I42" s="932"/>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0"/>
      <c r="AY42" s="930"/>
      <c r="AZ42" s="930"/>
      <c r="BA42" s="930"/>
      <c r="BB42" s="930"/>
      <c r="BC42" s="930"/>
      <c r="BD42" s="930"/>
      <c r="BE42" s="930"/>
      <c r="BF42" s="930"/>
      <c r="BG42" s="930"/>
      <c r="BH42" s="930"/>
      <c r="BI42" s="930"/>
      <c r="BJ42" s="930"/>
      <c r="BK42" s="930"/>
      <c r="BL42" s="930"/>
      <c r="BM42" s="930"/>
      <c r="BN42" s="930"/>
      <c r="BO42" s="930"/>
      <c r="BP42" s="930"/>
      <c r="BQ42" s="930"/>
      <c r="BR42" s="930"/>
      <c r="BS42" s="930"/>
      <c r="BT42" s="930"/>
      <c r="BU42" s="930"/>
      <c r="BV42" s="930"/>
      <c r="BW42" s="930"/>
      <c r="BX42" s="930"/>
      <c r="BY42" s="930"/>
      <c r="BZ42" s="930"/>
      <c r="CA42" s="930"/>
      <c r="CB42" s="930"/>
      <c r="CC42" s="930"/>
      <c r="CD42" s="930"/>
      <c r="CE42" s="930"/>
      <c r="CF42" s="930"/>
      <c r="CG42" s="930"/>
      <c r="CH42" s="930"/>
      <c r="CI42" s="930"/>
      <c r="CJ42" s="930"/>
      <c r="CK42" s="930"/>
      <c r="CL42" s="930"/>
      <c r="CM42" s="930"/>
      <c r="CN42" s="930"/>
      <c r="CO42" s="930"/>
      <c r="CP42" s="930"/>
      <c r="CQ42" s="930"/>
      <c r="CR42" s="930"/>
      <c r="CS42" s="930"/>
      <c r="CT42" s="930"/>
      <c r="CU42" s="930"/>
      <c r="CV42" s="930"/>
      <c r="CW42" s="930"/>
      <c r="CX42" s="930"/>
      <c r="CY42" s="930"/>
      <c r="CZ42" s="930"/>
      <c r="DA42" s="930"/>
      <c r="DB42" s="930"/>
      <c r="DC42" s="930"/>
      <c r="DD42" s="930"/>
      <c r="DE42" s="930"/>
      <c r="DF42" s="930"/>
      <c r="DG42" s="930"/>
      <c r="DH42" s="930"/>
      <c r="DI42" s="930"/>
      <c r="DJ42" s="930"/>
      <c r="DK42" s="930"/>
      <c r="DL42" s="930"/>
      <c r="DM42" s="930"/>
      <c r="DN42" s="930"/>
      <c r="DO42" s="930"/>
      <c r="DP42" s="930"/>
      <c r="DQ42" s="930"/>
      <c r="DR42" s="930"/>
      <c r="DS42" s="930"/>
      <c r="DT42" s="930"/>
      <c r="DU42" s="930"/>
      <c r="DV42" s="930"/>
      <c r="DW42" s="930"/>
      <c r="DX42" s="930"/>
      <c r="DY42" s="930"/>
      <c r="DZ42" s="930"/>
      <c r="EA42" s="930"/>
      <c r="EB42" s="930"/>
      <c r="EC42" s="930"/>
      <c r="ED42" s="930"/>
      <c r="EE42" s="930"/>
      <c r="EF42" s="930"/>
      <c r="EG42" s="930"/>
      <c r="EH42" s="930"/>
      <c r="EI42" s="930"/>
      <c r="EJ42" s="930"/>
      <c r="EK42" s="930"/>
      <c r="EL42" s="930"/>
      <c r="EM42" s="930"/>
      <c r="EN42" s="930"/>
      <c r="EO42" s="930"/>
      <c r="EP42" s="930"/>
      <c r="EQ42" s="930"/>
      <c r="ER42" s="930"/>
      <c r="ES42" s="930"/>
      <c r="ET42" s="930"/>
      <c r="EU42" s="930"/>
      <c r="EV42" s="930"/>
      <c r="EW42" s="930"/>
      <c r="EX42" s="930"/>
      <c r="EY42" s="930"/>
      <c r="EZ42" s="930"/>
      <c r="FA42" s="930"/>
      <c r="FB42" s="930"/>
      <c r="FC42" s="930"/>
      <c r="FD42" s="930"/>
      <c r="FE42" s="930"/>
      <c r="FF42" s="930"/>
      <c r="FG42" s="930"/>
      <c r="FH42" s="930"/>
      <c r="FI42" s="930"/>
      <c r="FJ42" s="930"/>
      <c r="FK42" s="930"/>
      <c r="FL42" s="930"/>
      <c r="FM42" s="930"/>
      <c r="FN42" s="930"/>
      <c r="FO42" s="930"/>
      <c r="FP42" s="930"/>
      <c r="FQ42" s="930"/>
      <c r="FR42" s="930"/>
      <c r="FS42" s="930"/>
      <c r="FT42" s="930"/>
      <c r="FU42" s="930"/>
      <c r="FV42" s="930"/>
      <c r="FW42" s="930"/>
      <c r="FX42" s="930"/>
      <c r="FY42" s="930"/>
      <c r="FZ42" s="930"/>
      <c r="GA42" s="930"/>
      <c r="GB42" s="930"/>
      <c r="GC42" s="930"/>
      <c r="GD42" s="930"/>
      <c r="GE42" s="930"/>
      <c r="GF42" s="930"/>
      <c r="GG42" s="930"/>
      <c r="GH42" s="930"/>
      <c r="GI42" s="930"/>
      <c r="GJ42" s="930"/>
      <c r="GK42" s="930"/>
      <c r="GL42" s="930"/>
      <c r="GM42" s="930"/>
      <c r="GN42" s="930"/>
      <c r="GO42" s="930"/>
      <c r="GP42" s="930"/>
      <c r="GQ42" s="930"/>
      <c r="GR42" s="930"/>
      <c r="GS42" s="930"/>
      <c r="GT42" s="930"/>
      <c r="GU42" s="930"/>
      <c r="GV42" s="930"/>
      <c r="GW42" s="930"/>
      <c r="GX42" s="930"/>
      <c r="GY42" s="930"/>
      <c r="GZ42" s="930"/>
      <c r="HA42" s="930"/>
      <c r="HB42" s="930"/>
      <c r="HC42" s="930"/>
      <c r="HD42" s="930"/>
      <c r="HE42" s="930"/>
      <c r="HF42" s="930"/>
      <c r="HG42" s="930"/>
      <c r="HH42" s="930"/>
      <c r="HI42" s="930"/>
      <c r="HJ42" s="930"/>
      <c r="HK42" s="930"/>
      <c r="HL42" s="930"/>
      <c r="HM42" s="930"/>
      <c r="HN42" s="930"/>
      <c r="HO42" s="930"/>
      <c r="HP42" s="930"/>
      <c r="HQ42" s="930"/>
      <c r="HR42" s="930"/>
      <c r="HS42" s="930"/>
      <c r="HT42" s="930"/>
      <c r="HU42" s="930"/>
      <c r="HV42" s="930"/>
      <c r="HW42" s="930"/>
      <c r="HX42" s="930"/>
      <c r="HY42" s="930"/>
      <c r="HZ42" s="930"/>
      <c r="IA42" s="930"/>
      <c r="IB42" s="930"/>
      <c r="IC42" s="930"/>
      <c r="ID42" s="930"/>
      <c r="IE42" s="930"/>
      <c r="IF42" s="930"/>
      <c r="IG42" s="930"/>
      <c r="IH42" s="930"/>
      <c r="II42" s="930"/>
      <c r="IJ42" s="930"/>
      <c r="IK42" s="930"/>
      <c r="IL42" s="930"/>
      <c r="IM42" s="930"/>
      <c r="IN42" s="930"/>
      <c r="IO42" s="930"/>
      <c r="IP42" s="930"/>
      <c r="IQ42" s="930"/>
      <c r="IR42" s="930"/>
      <c r="IS42" s="930"/>
      <c r="IT42" s="930"/>
      <c r="IU42" s="930"/>
      <c r="IV42" s="930"/>
    </row>
    <row r="43" spans="1:256" ht="15.75">
      <c r="A43" s="930"/>
      <c r="B43" s="939" t="s">
        <v>338</v>
      </c>
      <c r="C43" s="939" t="s">
        <v>339</v>
      </c>
      <c r="D43" s="939" t="s">
        <v>60</v>
      </c>
      <c r="E43" s="939" t="s">
        <v>341</v>
      </c>
      <c r="F43" s="939" t="s">
        <v>266</v>
      </c>
      <c r="G43" s="939" t="s">
        <v>267</v>
      </c>
      <c r="H43" s="939" t="s">
        <v>268</v>
      </c>
      <c r="I43" s="939" t="s">
        <v>273</v>
      </c>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0"/>
      <c r="AY43" s="930"/>
      <c r="AZ43" s="930"/>
      <c r="BA43" s="930"/>
      <c r="BB43" s="930"/>
      <c r="BC43" s="930"/>
      <c r="BD43" s="930"/>
      <c r="BE43" s="930"/>
      <c r="BF43" s="930"/>
      <c r="BG43" s="930"/>
      <c r="BH43" s="930"/>
      <c r="BI43" s="930"/>
      <c r="BJ43" s="930"/>
      <c r="BK43" s="930"/>
      <c r="BL43" s="930"/>
      <c r="BM43" s="930"/>
      <c r="BN43" s="930"/>
      <c r="BO43" s="930"/>
      <c r="BP43" s="930"/>
      <c r="BQ43" s="930"/>
      <c r="BR43" s="930"/>
      <c r="BS43" s="930"/>
      <c r="BT43" s="930"/>
      <c r="BU43" s="930"/>
      <c r="BV43" s="930"/>
      <c r="BW43" s="930"/>
      <c r="BX43" s="930"/>
      <c r="BY43" s="930"/>
      <c r="BZ43" s="930"/>
      <c r="CA43" s="930"/>
      <c r="CB43" s="930"/>
      <c r="CC43" s="930"/>
      <c r="CD43" s="930"/>
      <c r="CE43" s="930"/>
      <c r="CF43" s="930"/>
      <c r="CG43" s="930"/>
      <c r="CH43" s="930"/>
      <c r="CI43" s="930"/>
      <c r="CJ43" s="930"/>
      <c r="CK43" s="930"/>
      <c r="CL43" s="930"/>
      <c r="CM43" s="930"/>
      <c r="CN43" s="930"/>
      <c r="CO43" s="930"/>
      <c r="CP43" s="930"/>
      <c r="CQ43" s="930"/>
      <c r="CR43" s="930"/>
      <c r="CS43" s="930"/>
      <c r="CT43" s="930"/>
      <c r="CU43" s="930"/>
      <c r="CV43" s="930"/>
      <c r="CW43" s="930"/>
      <c r="CX43" s="930"/>
      <c r="CY43" s="930"/>
      <c r="CZ43" s="930"/>
      <c r="DA43" s="930"/>
      <c r="DB43" s="930"/>
      <c r="DC43" s="930"/>
      <c r="DD43" s="930"/>
      <c r="DE43" s="930"/>
      <c r="DF43" s="930"/>
      <c r="DG43" s="930"/>
      <c r="DH43" s="930"/>
      <c r="DI43" s="930"/>
      <c r="DJ43" s="930"/>
      <c r="DK43" s="930"/>
      <c r="DL43" s="930"/>
      <c r="DM43" s="930"/>
      <c r="DN43" s="930"/>
      <c r="DO43" s="930"/>
      <c r="DP43" s="930"/>
      <c r="DQ43" s="930"/>
      <c r="DR43" s="930"/>
      <c r="DS43" s="930"/>
      <c r="DT43" s="930"/>
      <c r="DU43" s="930"/>
      <c r="DV43" s="930"/>
      <c r="DW43" s="930"/>
      <c r="DX43" s="930"/>
      <c r="DY43" s="930"/>
      <c r="DZ43" s="930"/>
      <c r="EA43" s="930"/>
      <c r="EB43" s="930"/>
      <c r="EC43" s="930"/>
      <c r="ED43" s="930"/>
      <c r="EE43" s="930"/>
      <c r="EF43" s="930"/>
      <c r="EG43" s="930"/>
      <c r="EH43" s="930"/>
      <c r="EI43" s="930"/>
      <c r="EJ43" s="930"/>
      <c r="EK43" s="930"/>
      <c r="EL43" s="930"/>
      <c r="EM43" s="930"/>
      <c r="EN43" s="930"/>
      <c r="EO43" s="930"/>
      <c r="EP43" s="930"/>
      <c r="EQ43" s="930"/>
      <c r="ER43" s="930"/>
      <c r="ES43" s="930"/>
      <c r="ET43" s="930"/>
      <c r="EU43" s="930"/>
      <c r="EV43" s="930"/>
      <c r="EW43" s="930"/>
      <c r="EX43" s="930"/>
      <c r="EY43" s="930"/>
      <c r="EZ43" s="930"/>
      <c r="FA43" s="930"/>
      <c r="FB43" s="930"/>
      <c r="FC43" s="930"/>
      <c r="FD43" s="930"/>
      <c r="FE43" s="930"/>
      <c r="FF43" s="930"/>
      <c r="FG43" s="930"/>
      <c r="FH43" s="930"/>
      <c r="FI43" s="930"/>
      <c r="FJ43" s="930"/>
      <c r="FK43" s="930"/>
      <c r="FL43" s="930"/>
      <c r="FM43" s="930"/>
      <c r="FN43" s="930"/>
      <c r="FO43" s="930"/>
      <c r="FP43" s="930"/>
      <c r="FQ43" s="930"/>
      <c r="FR43" s="930"/>
      <c r="FS43" s="930"/>
      <c r="FT43" s="930"/>
      <c r="FU43" s="930"/>
      <c r="FV43" s="930"/>
      <c r="FW43" s="930"/>
      <c r="FX43" s="930"/>
      <c r="FY43" s="930"/>
      <c r="FZ43" s="930"/>
      <c r="GA43" s="930"/>
      <c r="GB43" s="930"/>
      <c r="GC43" s="930"/>
      <c r="GD43" s="930"/>
      <c r="GE43" s="930"/>
      <c r="GF43" s="930"/>
      <c r="GG43" s="930"/>
      <c r="GH43" s="930"/>
      <c r="GI43" s="930"/>
      <c r="GJ43" s="930"/>
      <c r="GK43" s="930"/>
      <c r="GL43" s="930"/>
      <c r="GM43" s="930"/>
      <c r="GN43" s="930"/>
      <c r="GO43" s="930"/>
      <c r="GP43" s="930"/>
      <c r="GQ43" s="930"/>
      <c r="GR43" s="930"/>
      <c r="GS43" s="930"/>
      <c r="GT43" s="930"/>
      <c r="GU43" s="930"/>
      <c r="GV43" s="930"/>
      <c r="GW43" s="930"/>
      <c r="GX43" s="930"/>
      <c r="GY43" s="930"/>
      <c r="GZ43" s="930"/>
      <c r="HA43" s="930"/>
      <c r="HB43" s="930"/>
      <c r="HC43" s="930"/>
      <c r="HD43" s="930"/>
      <c r="HE43" s="930"/>
      <c r="HF43" s="930"/>
      <c r="HG43" s="930"/>
      <c r="HH43" s="930"/>
      <c r="HI43" s="930"/>
      <c r="HJ43" s="930"/>
      <c r="HK43" s="930"/>
      <c r="HL43" s="930"/>
      <c r="HM43" s="930"/>
      <c r="HN43" s="930"/>
      <c r="HO43" s="930"/>
      <c r="HP43" s="930"/>
      <c r="HQ43" s="930"/>
      <c r="HR43" s="930"/>
      <c r="HS43" s="930"/>
      <c r="HT43" s="930"/>
      <c r="HU43" s="930"/>
      <c r="HV43" s="930"/>
      <c r="HW43" s="930"/>
      <c r="HX43" s="930"/>
      <c r="HY43" s="930"/>
      <c r="HZ43" s="930"/>
      <c r="IA43" s="930"/>
      <c r="IB43" s="930"/>
      <c r="IC43" s="930"/>
      <c r="ID43" s="930"/>
      <c r="IE43" s="930"/>
      <c r="IF43" s="930"/>
      <c r="IG43" s="930"/>
      <c r="IH43" s="930"/>
      <c r="II43" s="930"/>
      <c r="IJ43" s="930"/>
      <c r="IK43" s="930"/>
      <c r="IL43" s="930"/>
      <c r="IM43" s="930"/>
      <c r="IN43" s="930"/>
      <c r="IO43" s="930"/>
      <c r="IP43" s="930"/>
      <c r="IQ43" s="930"/>
      <c r="IR43" s="930"/>
      <c r="IS43" s="930"/>
      <c r="IT43" s="930"/>
      <c r="IU43" s="930"/>
      <c r="IV43" s="930"/>
    </row>
    <row r="44" spans="1:256" ht="39">
      <c r="A44" s="940" t="s">
        <v>345</v>
      </c>
      <c r="B44" s="934" t="s">
        <v>563</v>
      </c>
      <c r="C44" s="934" t="s">
        <v>564</v>
      </c>
      <c r="D44" s="934" t="s">
        <v>572</v>
      </c>
      <c r="E44" s="934" t="s">
        <v>573</v>
      </c>
      <c r="F44" s="934" t="s">
        <v>574</v>
      </c>
      <c r="G44" s="934" t="s">
        <v>575</v>
      </c>
      <c r="H44" s="934" t="s">
        <v>565</v>
      </c>
      <c r="I44" s="934" t="s">
        <v>576</v>
      </c>
      <c r="J44" s="930"/>
      <c r="K44" s="941"/>
      <c r="L44" s="941"/>
      <c r="M44" s="941"/>
      <c r="N44" s="941"/>
      <c r="O44" s="941"/>
      <c r="P44" s="941"/>
      <c r="Q44" s="941"/>
      <c r="R44" s="941"/>
      <c r="S44" s="941"/>
      <c r="T44" s="941"/>
      <c r="U44" s="941"/>
      <c r="V44" s="941"/>
      <c r="W44" s="941"/>
      <c r="X44" s="941"/>
      <c r="Y44" s="941"/>
      <c r="Z44" s="941"/>
      <c r="AA44" s="941"/>
      <c r="AB44" s="941"/>
      <c r="AC44" s="941"/>
      <c r="AD44" s="941"/>
      <c r="AE44" s="941"/>
      <c r="AF44" s="941"/>
      <c r="AG44" s="941"/>
      <c r="AH44" s="941"/>
      <c r="AI44" s="941"/>
      <c r="AJ44" s="941"/>
      <c r="AK44" s="941"/>
      <c r="AL44" s="941"/>
      <c r="AM44" s="941"/>
      <c r="AN44" s="941"/>
      <c r="AO44" s="941"/>
      <c r="AP44" s="941"/>
      <c r="AQ44" s="941"/>
      <c r="AR44" s="941"/>
      <c r="AS44" s="941"/>
      <c r="AT44" s="941"/>
      <c r="AU44" s="941"/>
      <c r="AV44" s="941"/>
      <c r="AW44" s="941"/>
      <c r="AX44" s="941"/>
      <c r="AY44" s="941"/>
      <c r="AZ44" s="941"/>
      <c r="BA44" s="941"/>
      <c r="BB44" s="941"/>
      <c r="BC44" s="941"/>
      <c r="BD44" s="941"/>
      <c r="BE44" s="941"/>
      <c r="BF44" s="941"/>
      <c r="BG44" s="941"/>
      <c r="BH44" s="941"/>
      <c r="BI44" s="941"/>
      <c r="BJ44" s="941"/>
      <c r="BK44" s="941"/>
      <c r="BL44" s="941"/>
      <c r="BM44" s="941"/>
      <c r="BN44" s="941"/>
      <c r="BO44" s="941"/>
      <c r="BP44" s="941"/>
      <c r="BQ44" s="941"/>
      <c r="BR44" s="941"/>
      <c r="BS44" s="941"/>
      <c r="BT44" s="941"/>
      <c r="BU44" s="941"/>
      <c r="BV44" s="941"/>
      <c r="BW44" s="941"/>
      <c r="BX44" s="941"/>
      <c r="BY44" s="941"/>
      <c r="BZ44" s="941"/>
      <c r="CA44" s="941"/>
      <c r="CB44" s="941"/>
      <c r="CC44" s="941"/>
      <c r="CD44" s="941"/>
      <c r="CE44" s="941"/>
      <c r="CF44" s="941"/>
      <c r="CG44" s="941"/>
      <c r="CH44" s="941"/>
      <c r="CI44" s="941"/>
      <c r="CJ44" s="941"/>
      <c r="CK44" s="941"/>
      <c r="CL44" s="941"/>
      <c r="CM44" s="941"/>
      <c r="CN44" s="941"/>
      <c r="CO44" s="941"/>
      <c r="CP44" s="941"/>
      <c r="CQ44" s="941"/>
      <c r="CR44" s="941"/>
      <c r="CS44" s="941"/>
      <c r="CT44" s="941"/>
      <c r="CU44" s="941"/>
      <c r="CV44" s="941"/>
      <c r="CW44" s="941"/>
      <c r="CX44" s="941"/>
      <c r="CY44" s="941"/>
      <c r="CZ44" s="941"/>
      <c r="DA44" s="941"/>
      <c r="DB44" s="941"/>
      <c r="DC44" s="941"/>
      <c r="DD44" s="941"/>
      <c r="DE44" s="941"/>
      <c r="DF44" s="941"/>
      <c r="DG44" s="941"/>
      <c r="DH44" s="941"/>
      <c r="DI44" s="941"/>
      <c r="DJ44" s="941"/>
      <c r="DK44" s="941"/>
      <c r="DL44" s="941"/>
      <c r="DM44" s="941"/>
      <c r="DN44" s="941"/>
      <c r="DO44" s="941"/>
      <c r="DP44" s="941"/>
      <c r="DQ44" s="941"/>
      <c r="DR44" s="941"/>
      <c r="DS44" s="941"/>
      <c r="DT44" s="941"/>
      <c r="DU44" s="941"/>
      <c r="DV44" s="941"/>
      <c r="DW44" s="941"/>
      <c r="DX44" s="941"/>
      <c r="DY44" s="941"/>
      <c r="DZ44" s="941"/>
      <c r="EA44" s="941"/>
      <c r="EB44" s="941"/>
      <c r="EC44" s="941"/>
      <c r="ED44" s="941"/>
      <c r="EE44" s="941"/>
      <c r="EF44" s="941"/>
      <c r="EG44" s="941"/>
      <c r="EH44" s="941"/>
      <c r="EI44" s="941"/>
      <c r="EJ44" s="941"/>
      <c r="EK44" s="941"/>
      <c r="EL44" s="941"/>
      <c r="EM44" s="941"/>
      <c r="EN44" s="941"/>
      <c r="EO44" s="941"/>
      <c r="EP44" s="941"/>
      <c r="EQ44" s="941"/>
      <c r="ER44" s="941"/>
      <c r="ES44" s="941"/>
      <c r="ET44" s="941"/>
      <c r="EU44" s="941"/>
      <c r="EV44" s="941"/>
      <c r="EW44" s="941"/>
      <c r="EX44" s="941"/>
      <c r="EY44" s="941"/>
      <c r="EZ44" s="941"/>
      <c r="FA44" s="941"/>
      <c r="FB44" s="941"/>
      <c r="FC44" s="941"/>
      <c r="FD44" s="941"/>
      <c r="FE44" s="941"/>
      <c r="FF44" s="941"/>
      <c r="FG44" s="941"/>
      <c r="FH44" s="941"/>
      <c r="FI44" s="941"/>
      <c r="FJ44" s="941"/>
      <c r="FK44" s="941"/>
      <c r="FL44" s="941"/>
      <c r="FM44" s="941"/>
      <c r="FN44" s="941"/>
      <c r="FO44" s="941"/>
      <c r="FP44" s="941"/>
      <c r="FQ44" s="941"/>
      <c r="FR44" s="941"/>
      <c r="FS44" s="941"/>
      <c r="FT44" s="941"/>
      <c r="FU44" s="941"/>
      <c r="FV44" s="941"/>
      <c r="FW44" s="941"/>
      <c r="FX44" s="941"/>
      <c r="FY44" s="941"/>
      <c r="FZ44" s="941"/>
      <c r="GA44" s="941"/>
      <c r="GB44" s="941"/>
      <c r="GC44" s="941"/>
      <c r="GD44" s="941"/>
      <c r="GE44" s="941"/>
      <c r="GF44" s="941"/>
      <c r="GG44" s="941"/>
      <c r="GH44" s="941"/>
      <c r="GI44" s="941"/>
      <c r="GJ44" s="941"/>
      <c r="GK44" s="941"/>
      <c r="GL44" s="941"/>
      <c r="GM44" s="941"/>
      <c r="GN44" s="941"/>
      <c r="GO44" s="941"/>
      <c r="GP44" s="941"/>
      <c r="GQ44" s="941"/>
      <c r="GR44" s="941"/>
      <c r="GS44" s="941"/>
      <c r="GT44" s="941"/>
      <c r="GU44" s="941"/>
      <c r="GV44" s="941"/>
      <c r="GW44" s="941"/>
      <c r="GX44" s="941"/>
      <c r="GY44" s="941"/>
      <c r="GZ44" s="941"/>
      <c r="HA44" s="941"/>
      <c r="HB44" s="941"/>
      <c r="HC44" s="941"/>
      <c r="HD44" s="941"/>
      <c r="HE44" s="941"/>
      <c r="HF44" s="941"/>
      <c r="HG44" s="941"/>
      <c r="HH44" s="941"/>
      <c r="HI44" s="941"/>
      <c r="HJ44" s="941"/>
      <c r="HK44" s="941"/>
      <c r="HL44" s="941"/>
      <c r="HM44" s="941"/>
      <c r="HN44" s="941"/>
      <c r="HO44" s="941"/>
      <c r="HP44" s="941"/>
      <c r="HQ44" s="941"/>
      <c r="HR44" s="941"/>
      <c r="HS44" s="941"/>
      <c r="HT44" s="941"/>
      <c r="HU44" s="941"/>
      <c r="HV44" s="941"/>
      <c r="HW44" s="941"/>
      <c r="HX44" s="941"/>
      <c r="HY44" s="941"/>
      <c r="HZ44" s="941"/>
      <c r="IA44" s="941"/>
      <c r="IB44" s="941"/>
      <c r="IC44" s="941"/>
      <c r="ID44" s="941"/>
      <c r="IE44" s="941"/>
      <c r="IF44" s="941"/>
      <c r="IG44" s="941"/>
      <c r="IH44" s="941"/>
      <c r="II44" s="941"/>
      <c r="IJ44" s="941"/>
      <c r="IK44" s="941"/>
      <c r="IL44" s="941"/>
      <c r="IM44" s="941"/>
      <c r="IN44" s="941"/>
      <c r="IO44" s="941"/>
      <c r="IP44" s="941"/>
      <c r="IQ44" s="941"/>
      <c r="IR44" s="941"/>
      <c r="IS44" s="941"/>
      <c r="IT44" s="941"/>
      <c r="IU44" s="941"/>
      <c r="IV44" s="941"/>
    </row>
    <row r="45" spans="1:256">
      <c r="A45" s="935">
        <f>+A41+1</f>
        <v>24</v>
      </c>
      <c r="B45" s="931" t="s">
        <v>566</v>
      </c>
      <c r="C45" s="1128">
        <f>+H39</f>
        <v>0</v>
      </c>
      <c r="D45" s="1128">
        <f>C45</f>
        <v>0</v>
      </c>
      <c r="E45" s="931"/>
      <c r="F45" s="869">
        <v>365</v>
      </c>
      <c r="G45" s="1129">
        <f>F45/$F$18</f>
        <v>1</v>
      </c>
      <c r="H45" s="1128">
        <f>C45*G45</f>
        <v>0</v>
      </c>
      <c r="I45" s="1128">
        <f>H45</f>
        <v>0</v>
      </c>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c r="AI45" s="930"/>
      <c r="AJ45" s="930"/>
      <c r="AK45" s="930"/>
      <c r="AL45" s="930"/>
      <c r="AM45" s="930"/>
      <c r="AN45" s="930"/>
      <c r="AO45" s="930"/>
      <c r="AP45" s="930"/>
      <c r="AQ45" s="930"/>
      <c r="AR45" s="930"/>
      <c r="AS45" s="930"/>
      <c r="AT45" s="930"/>
      <c r="AU45" s="930"/>
      <c r="AV45" s="930"/>
      <c r="AW45" s="930"/>
      <c r="AX45" s="930"/>
      <c r="AY45" s="930"/>
      <c r="AZ45" s="930"/>
      <c r="BA45" s="930"/>
      <c r="BB45" s="930"/>
      <c r="BC45" s="930"/>
      <c r="BD45" s="930"/>
      <c r="BE45" s="930"/>
      <c r="BF45" s="930"/>
      <c r="BG45" s="930"/>
      <c r="BH45" s="930"/>
      <c r="BI45" s="930"/>
      <c r="BJ45" s="930"/>
      <c r="BK45" s="930"/>
      <c r="BL45" s="930"/>
      <c r="BM45" s="930"/>
      <c r="BN45" s="930"/>
      <c r="BO45" s="930"/>
      <c r="BP45" s="930"/>
      <c r="BQ45" s="930"/>
      <c r="BR45" s="930"/>
      <c r="BS45" s="930"/>
      <c r="BT45" s="930"/>
      <c r="BU45" s="930"/>
      <c r="BV45" s="930"/>
      <c r="BW45" s="930"/>
      <c r="BX45" s="930"/>
      <c r="BY45" s="930"/>
      <c r="BZ45" s="930"/>
      <c r="CA45" s="930"/>
      <c r="CB45" s="930"/>
      <c r="CC45" s="930"/>
      <c r="CD45" s="930"/>
      <c r="CE45" s="930"/>
      <c r="CF45" s="930"/>
      <c r="CG45" s="930"/>
      <c r="CH45" s="930"/>
      <c r="CI45" s="930"/>
      <c r="CJ45" s="930"/>
      <c r="CK45" s="930"/>
      <c r="CL45" s="930"/>
      <c r="CM45" s="930"/>
      <c r="CN45" s="930"/>
      <c r="CO45" s="930"/>
      <c r="CP45" s="930"/>
      <c r="CQ45" s="930"/>
      <c r="CR45" s="930"/>
      <c r="CS45" s="930"/>
      <c r="CT45" s="930"/>
      <c r="CU45" s="930"/>
      <c r="CV45" s="930"/>
      <c r="CW45" s="930"/>
      <c r="CX45" s="930"/>
      <c r="CY45" s="930"/>
      <c r="CZ45" s="930"/>
      <c r="DA45" s="930"/>
      <c r="DB45" s="930"/>
      <c r="DC45" s="930"/>
      <c r="DD45" s="930"/>
      <c r="DE45" s="930"/>
      <c r="DF45" s="930"/>
      <c r="DG45" s="930"/>
      <c r="DH45" s="930"/>
      <c r="DI45" s="930"/>
      <c r="DJ45" s="930"/>
      <c r="DK45" s="930"/>
      <c r="DL45" s="930"/>
      <c r="DM45" s="930"/>
      <c r="DN45" s="930"/>
      <c r="DO45" s="930"/>
      <c r="DP45" s="930"/>
      <c r="DQ45" s="930"/>
      <c r="DR45" s="930"/>
      <c r="DS45" s="930"/>
      <c r="DT45" s="930"/>
      <c r="DU45" s="930"/>
      <c r="DV45" s="930"/>
      <c r="DW45" s="930"/>
      <c r="DX45" s="930"/>
      <c r="DY45" s="930"/>
      <c r="DZ45" s="930"/>
      <c r="EA45" s="930"/>
      <c r="EB45" s="930"/>
      <c r="EC45" s="930"/>
      <c r="ED45" s="930"/>
      <c r="EE45" s="930"/>
      <c r="EF45" s="930"/>
      <c r="EG45" s="930"/>
      <c r="EH45" s="930"/>
      <c r="EI45" s="930"/>
      <c r="EJ45" s="930"/>
      <c r="EK45" s="930"/>
      <c r="EL45" s="930"/>
      <c r="EM45" s="930"/>
      <c r="EN45" s="930"/>
      <c r="EO45" s="930"/>
      <c r="EP45" s="930"/>
      <c r="EQ45" s="930"/>
      <c r="ER45" s="930"/>
      <c r="ES45" s="930"/>
      <c r="ET45" s="930"/>
      <c r="EU45" s="930"/>
      <c r="EV45" s="930"/>
      <c r="EW45" s="930"/>
      <c r="EX45" s="930"/>
      <c r="EY45" s="930"/>
      <c r="EZ45" s="930"/>
      <c r="FA45" s="930"/>
      <c r="FB45" s="930"/>
      <c r="FC45" s="930"/>
      <c r="FD45" s="930"/>
      <c r="FE45" s="930"/>
      <c r="FF45" s="930"/>
      <c r="FG45" s="930"/>
      <c r="FH45" s="930"/>
      <c r="FI45" s="930"/>
      <c r="FJ45" s="930"/>
      <c r="FK45" s="930"/>
      <c r="FL45" s="930"/>
      <c r="FM45" s="930"/>
      <c r="FN45" s="930"/>
      <c r="FO45" s="930"/>
      <c r="FP45" s="930"/>
      <c r="FQ45" s="930"/>
      <c r="FR45" s="930"/>
      <c r="FS45" s="930"/>
      <c r="FT45" s="930"/>
      <c r="FU45" s="930"/>
      <c r="FV45" s="930"/>
      <c r="FW45" s="930"/>
      <c r="FX45" s="930"/>
      <c r="FY45" s="930"/>
      <c r="FZ45" s="930"/>
      <c r="GA45" s="930"/>
      <c r="GB45" s="930"/>
      <c r="GC45" s="930"/>
      <c r="GD45" s="930"/>
      <c r="GE45" s="930"/>
      <c r="GF45" s="930"/>
      <c r="GG45" s="930"/>
      <c r="GH45" s="930"/>
      <c r="GI45" s="930"/>
      <c r="GJ45" s="930"/>
      <c r="GK45" s="930"/>
      <c r="GL45" s="930"/>
      <c r="GM45" s="930"/>
      <c r="GN45" s="930"/>
      <c r="GO45" s="930"/>
      <c r="GP45" s="930"/>
      <c r="GQ45" s="930"/>
      <c r="GR45" s="930"/>
      <c r="GS45" s="930"/>
      <c r="GT45" s="930"/>
      <c r="GU45" s="930"/>
      <c r="GV45" s="930"/>
      <c r="GW45" s="930"/>
      <c r="GX45" s="930"/>
      <c r="GY45" s="930"/>
      <c r="GZ45" s="930"/>
      <c r="HA45" s="930"/>
      <c r="HB45" s="930"/>
      <c r="HC45" s="930"/>
      <c r="HD45" s="930"/>
      <c r="HE45" s="930"/>
      <c r="HF45" s="930"/>
      <c r="HG45" s="930"/>
      <c r="HH45" s="930"/>
      <c r="HI45" s="930"/>
      <c r="HJ45" s="930"/>
      <c r="HK45" s="930"/>
      <c r="HL45" s="930"/>
      <c r="HM45" s="930"/>
      <c r="HN45" s="930"/>
      <c r="HO45" s="930"/>
      <c r="HP45" s="930"/>
      <c r="HQ45" s="930"/>
      <c r="HR45" s="930"/>
      <c r="HS45" s="930"/>
      <c r="HT45" s="930"/>
      <c r="HU45" s="930"/>
      <c r="HV45" s="930"/>
      <c r="HW45" s="930"/>
      <c r="HX45" s="930"/>
      <c r="HY45" s="930"/>
      <c r="HZ45" s="930"/>
      <c r="IA45" s="930"/>
      <c r="IB45" s="930"/>
      <c r="IC45" s="930"/>
      <c r="ID45" s="930"/>
      <c r="IE45" s="930"/>
      <c r="IF45" s="930"/>
      <c r="IG45" s="930"/>
      <c r="IH45" s="930"/>
      <c r="II45" s="930"/>
      <c r="IJ45" s="930"/>
      <c r="IK45" s="930"/>
      <c r="IL45" s="930"/>
      <c r="IM45" s="930"/>
      <c r="IN45" s="930"/>
      <c r="IO45" s="930"/>
      <c r="IP45" s="930"/>
      <c r="IQ45" s="930"/>
      <c r="IR45" s="930"/>
      <c r="IS45" s="930"/>
      <c r="IT45" s="930"/>
      <c r="IU45" s="930"/>
      <c r="IV45" s="930"/>
    </row>
    <row r="46" spans="1:256">
      <c r="A46" s="935">
        <f>+A45+1</f>
        <v>25</v>
      </c>
      <c r="B46" s="931" t="s">
        <v>567</v>
      </c>
      <c r="C46" s="1128">
        <f>+$H$41</f>
        <v>0</v>
      </c>
      <c r="D46" s="1128">
        <f>D45+C46</f>
        <v>0</v>
      </c>
      <c r="E46" s="931">
        <v>31</v>
      </c>
      <c r="F46" s="869">
        <v>335</v>
      </c>
      <c r="G46" s="1129">
        <f t="shared" ref="G46:G57" si="6">F46/$F$18</f>
        <v>0.9178082191780822</v>
      </c>
      <c r="H46" s="1128">
        <f t="shared" ref="H46:H57" si="7">C46*G46</f>
        <v>0</v>
      </c>
      <c r="I46" s="1128">
        <f t="shared" ref="I46:I57" si="8">I45+H46</f>
        <v>0</v>
      </c>
      <c r="J46" s="930"/>
      <c r="K46" s="930"/>
      <c r="L46" s="930"/>
      <c r="M46" s="930"/>
      <c r="N46" s="930"/>
      <c r="O46" s="930"/>
      <c r="P46" s="930"/>
      <c r="Q46" s="930"/>
      <c r="R46" s="930"/>
      <c r="S46" s="930"/>
      <c r="T46" s="930"/>
      <c r="U46" s="930"/>
      <c r="V46" s="930"/>
      <c r="W46" s="930"/>
      <c r="X46" s="930"/>
      <c r="Y46" s="930"/>
      <c r="Z46" s="930"/>
      <c r="AA46" s="930"/>
      <c r="AB46" s="930"/>
      <c r="AC46" s="930"/>
      <c r="AD46" s="930"/>
      <c r="AE46" s="930"/>
      <c r="AF46" s="930"/>
      <c r="AG46" s="930"/>
      <c r="AH46" s="930"/>
      <c r="AI46" s="930"/>
      <c r="AJ46" s="930"/>
      <c r="AK46" s="930"/>
      <c r="AL46" s="930"/>
      <c r="AM46" s="930"/>
      <c r="AN46" s="930"/>
      <c r="AO46" s="930"/>
      <c r="AP46" s="930"/>
      <c r="AQ46" s="930"/>
      <c r="AR46" s="930"/>
      <c r="AS46" s="930"/>
      <c r="AT46" s="930"/>
      <c r="AU46" s="930"/>
      <c r="AV46" s="930"/>
      <c r="AW46" s="930"/>
      <c r="AX46" s="930"/>
      <c r="AY46" s="930"/>
      <c r="AZ46" s="930"/>
      <c r="BA46" s="930"/>
      <c r="BB46" s="930"/>
      <c r="BC46" s="930"/>
      <c r="BD46" s="930"/>
      <c r="BE46" s="930"/>
      <c r="BF46" s="930"/>
      <c r="BG46" s="930"/>
      <c r="BH46" s="930"/>
      <c r="BI46" s="930"/>
      <c r="BJ46" s="930"/>
      <c r="BK46" s="930"/>
      <c r="BL46" s="930"/>
      <c r="BM46" s="930"/>
      <c r="BN46" s="930"/>
      <c r="BO46" s="930"/>
      <c r="BP46" s="930"/>
      <c r="BQ46" s="930"/>
      <c r="BR46" s="930"/>
      <c r="BS46" s="930"/>
      <c r="BT46" s="930"/>
      <c r="BU46" s="930"/>
      <c r="BV46" s="930"/>
      <c r="BW46" s="930"/>
      <c r="BX46" s="930"/>
      <c r="BY46" s="930"/>
      <c r="BZ46" s="930"/>
      <c r="CA46" s="930"/>
      <c r="CB46" s="930"/>
      <c r="CC46" s="930"/>
      <c r="CD46" s="930"/>
      <c r="CE46" s="930"/>
      <c r="CF46" s="930"/>
      <c r="CG46" s="930"/>
      <c r="CH46" s="930"/>
      <c r="CI46" s="930"/>
      <c r="CJ46" s="930"/>
      <c r="CK46" s="930"/>
      <c r="CL46" s="930"/>
      <c r="CM46" s="930"/>
      <c r="CN46" s="930"/>
      <c r="CO46" s="930"/>
      <c r="CP46" s="930"/>
      <c r="CQ46" s="930"/>
      <c r="CR46" s="930"/>
      <c r="CS46" s="930"/>
      <c r="CT46" s="930"/>
      <c r="CU46" s="930"/>
      <c r="CV46" s="930"/>
      <c r="CW46" s="930"/>
      <c r="CX46" s="930"/>
      <c r="CY46" s="930"/>
      <c r="CZ46" s="930"/>
      <c r="DA46" s="930"/>
      <c r="DB46" s="930"/>
      <c r="DC46" s="930"/>
      <c r="DD46" s="930"/>
      <c r="DE46" s="930"/>
      <c r="DF46" s="930"/>
      <c r="DG46" s="930"/>
      <c r="DH46" s="930"/>
      <c r="DI46" s="930"/>
      <c r="DJ46" s="930"/>
      <c r="DK46" s="930"/>
      <c r="DL46" s="930"/>
      <c r="DM46" s="930"/>
      <c r="DN46" s="930"/>
      <c r="DO46" s="930"/>
      <c r="DP46" s="930"/>
      <c r="DQ46" s="930"/>
      <c r="DR46" s="930"/>
      <c r="DS46" s="930"/>
      <c r="DT46" s="930"/>
      <c r="DU46" s="930"/>
      <c r="DV46" s="930"/>
      <c r="DW46" s="930"/>
      <c r="DX46" s="930"/>
      <c r="DY46" s="930"/>
      <c r="DZ46" s="930"/>
      <c r="EA46" s="930"/>
      <c r="EB46" s="930"/>
      <c r="EC46" s="930"/>
      <c r="ED46" s="930"/>
      <c r="EE46" s="930"/>
      <c r="EF46" s="930"/>
      <c r="EG46" s="930"/>
      <c r="EH46" s="930"/>
      <c r="EI46" s="930"/>
      <c r="EJ46" s="930"/>
      <c r="EK46" s="930"/>
      <c r="EL46" s="930"/>
      <c r="EM46" s="930"/>
      <c r="EN46" s="930"/>
      <c r="EO46" s="930"/>
      <c r="EP46" s="930"/>
      <c r="EQ46" s="930"/>
      <c r="ER46" s="930"/>
      <c r="ES46" s="930"/>
      <c r="ET46" s="930"/>
      <c r="EU46" s="930"/>
      <c r="EV46" s="930"/>
      <c r="EW46" s="930"/>
      <c r="EX46" s="930"/>
      <c r="EY46" s="930"/>
      <c r="EZ46" s="930"/>
      <c r="FA46" s="930"/>
      <c r="FB46" s="930"/>
      <c r="FC46" s="930"/>
      <c r="FD46" s="930"/>
      <c r="FE46" s="930"/>
      <c r="FF46" s="930"/>
      <c r="FG46" s="930"/>
      <c r="FH46" s="930"/>
      <c r="FI46" s="930"/>
      <c r="FJ46" s="930"/>
      <c r="FK46" s="930"/>
      <c r="FL46" s="930"/>
      <c r="FM46" s="930"/>
      <c r="FN46" s="930"/>
      <c r="FO46" s="930"/>
      <c r="FP46" s="930"/>
      <c r="FQ46" s="930"/>
      <c r="FR46" s="930"/>
      <c r="FS46" s="930"/>
      <c r="FT46" s="930"/>
      <c r="FU46" s="930"/>
      <c r="FV46" s="930"/>
      <c r="FW46" s="930"/>
      <c r="FX46" s="930"/>
      <c r="FY46" s="930"/>
      <c r="FZ46" s="930"/>
      <c r="GA46" s="930"/>
      <c r="GB46" s="930"/>
      <c r="GC46" s="930"/>
      <c r="GD46" s="930"/>
      <c r="GE46" s="930"/>
      <c r="GF46" s="930"/>
      <c r="GG46" s="930"/>
      <c r="GH46" s="930"/>
      <c r="GI46" s="930"/>
      <c r="GJ46" s="930"/>
      <c r="GK46" s="930"/>
      <c r="GL46" s="930"/>
      <c r="GM46" s="930"/>
      <c r="GN46" s="930"/>
      <c r="GO46" s="930"/>
      <c r="GP46" s="930"/>
      <c r="GQ46" s="930"/>
      <c r="GR46" s="930"/>
      <c r="GS46" s="930"/>
      <c r="GT46" s="930"/>
      <c r="GU46" s="930"/>
      <c r="GV46" s="930"/>
      <c r="GW46" s="930"/>
      <c r="GX46" s="930"/>
      <c r="GY46" s="930"/>
      <c r="GZ46" s="930"/>
      <c r="HA46" s="930"/>
      <c r="HB46" s="930"/>
      <c r="HC46" s="930"/>
      <c r="HD46" s="930"/>
      <c r="HE46" s="930"/>
      <c r="HF46" s="930"/>
      <c r="HG46" s="930"/>
      <c r="HH46" s="930"/>
      <c r="HI46" s="930"/>
      <c r="HJ46" s="930"/>
      <c r="HK46" s="930"/>
      <c r="HL46" s="930"/>
      <c r="HM46" s="930"/>
      <c r="HN46" s="930"/>
      <c r="HO46" s="930"/>
      <c r="HP46" s="930"/>
      <c r="HQ46" s="930"/>
      <c r="HR46" s="930"/>
      <c r="HS46" s="930"/>
      <c r="HT46" s="930"/>
      <c r="HU46" s="930"/>
      <c r="HV46" s="930"/>
      <c r="HW46" s="930"/>
      <c r="HX46" s="930"/>
      <c r="HY46" s="930"/>
      <c r="HZ46" s="930"/>
      <c r="IA46" s="930"/>
      <c r="IB46" s="930"/>
      <c r="IC46" s="930"/>
      <c r="ID46" s="930"/>
      <c r="IE46" s="930"/>
      <c r="IF46" s="930"/>
      <c r="IG46" s="930"/>
      <c r="IH46" s="930"/>
      <c r="II46" s="930"/>
      <c r="IJ46" s="930"/>
      <c r="IK46" s="930"/>
      <c r="IL46" s="930"/>
      <c r="IM46" s="930"/>
      <c r="IN46" s="930"/>
      <c r="IO46" s="930"/>
      <c r="IP46" s="930"/>
      <c r="IQ46" s="930"/>
      <c r="IR46" s="930"/>
      <c r="IS46" s="930"/>
      <c r="IT46" s="930"/>
      <c r="IU46" s="930"/>
      <c r="IV46" s="930"/>
    </row>
    <row r="47" spans="1:256">
      <c r="A47" s="935">
        <f t="shared" ref="A47:A57" si="9">+A46+1</f>
        <v>26</v>
      </c>
      <c r="B47" s="931" t="s">
        <v>568</v>
      </c>
      <c r="C47" s="1128">
        <f t="shared" ref="C47:C57" si="10">+$H$41</f>
        <v>0</v>
      </c>
      <c r="D47" s="1128">
        <f>D46+C47</f>
        <v>0</v>
      </c>
      <c r="E47" s="869">
        <v>28</v>
      </c>
      <c r="F47" s="869">
        <v>307</v>
      </c>
      <c r="G47" s="1129">
        <f t="shared" si="6"/>
        <v>0.84109589041095889</v>
      </c>
      <c r="H47" s="1128">
        <f t="shared" si="7"/>
        <v>0</v>
      </c>
      <c r="I47" s="1128">
        <f t="shared" si="8"/>
        <v>0</v>
      </c>
      <c r="J47" s="930"/>
      <c r="K47" s="930"/>
      <c r="L47" s="930"/>
      <c r="M47" s="930"/>
      <c r="N47" s="930"/>
      <c r="O47" s="930"/>
      <c r="P47" s="930"/>
      <c r="Q47" s="930"/>
      <c r="R47" s="930"/>
      <c r="S47" s="930"/>
      <c r="T47" s="930"/>
      <c r="U47" s="930"/>
      <c r="V47" s="930"/>
      <c r="W47" s="930"/>
      <c r="X47" s="930"/>
      <c r="Y47" s="930"/>
      <c r="Z47" s="930"/>
      <c r="AA47" s="930"/>
      <c r="AB47" s="930"/>
      <c r="AC47" s="930"/>
      <c r="AD47" s="930"/>
      <c r="AE47" s="930"/>
      <c r="AF47" s="930"/>
      <c r="AG47" s="930"/>
      <c r="AH47" s="930"/>
      <c r="AI47" s="930"/>
      <c r="AJ47" s="930"/>
      <c r="AK47" s="930"/>
      <c r="AL47" s="930"/>
      <c r="AM47" s="930"/>
      <c r="AN47" s="930"/>
      <c r="AO47" s="930"/>
      <c r="AP47" s="930"/>
      <c r="AQ47" s="930"/>
      <c r="AR47" s="930"/>
      <c r="AS47" s="930"/>
      <c r="AT47" s="930"/>
      <c r="AU47" s="930"/>
      <c r="AV47" s="930"/>
      <c r="AW47" s="930"/>
      <c r="AX47" s="930"/>
      <c r="AY47" s="930"/>
      <c r="AZ47" s="930"/>
      <c r="BA47" s="930"/>
      <c r="BB47" s="930"/>
      <c r="BC47" s="930"/>
      <c r="BD47" s="930"/>
      <c r="BE47" s="930"/>
      <c r="BF47" s="930"/>
      <c r="BG47" s="930"/>
      <c r="BH47" s="930"/>
      <c r="BI47" s="930"/>
      <c r="BJ47" s="930"/>
      <c r="BK47" s="930"/>
      <c r="BL47" s="930"/>
      <c r="BM47" s="930"/>
      <c r="BN47" s="930"/>
      <c r="BO47" s="930"/>
      <c r="BP47" s="930"/>
      <c r="BQ47" s="930"/>
      <c r="BR47" s="930"/>
      <c r="BS47" s="930"/>
      <c r="BT47" s="930"/>
      <c r="BU47" s="930"/>
      <c r="BV47" s="930"/>
      <c r="BW47" s="930"/>
      <c r="BX47" s="930"/>
      <c r="BY47" s="930"/>
      <c r="BZ47" s="930"/>
      <c r="CA47" s="930"/>
      <c r="CB47" s="930"/>
      <c r="CC47" s="930"/>
      <c r="CD47" s="930"/>
      <c r="CE47" s="930"/>
      <c r="CF47" s="930"/>
      <c r="CG47" s="930"/>
      <c r="CH47" s="930"/>
      <c r="CI47" s="930"/>
      <c r="CJ47" s="930"/>
      <c r="CK47" s="930"/>
      <c r="CL47" s="930"/>
      <c r="CM47" s="930"/>
      <c r="CN47" s="930"/>
      <c r="CO47" s="930"/>
      <c r="CP47" s="930"/>
      <c r="CQ47" s="930"/>
      <c r="CR47" s="930"/>
      <c r="CS47" s="930"/>
      <c r="CT47" s="930"/>
      <c r="CU47" s="930"/>
      <c r="CV47" s="930"/>
      <c r="CW47" s="930"/>
      <c r="CX47" s="930"/>
      <c r="CY47" s="930"/>
      <c r="CZ47" s="930"/>
      <c r="DA47" s="930"/>
      <c r="DB47" s="930"/>
      <c r="DC47" s="930"/>
      <c r="DD47" s="930"/>
      <c r="DE47" s="930"/>
      <c r="DF47" s="930"/>
      <c r="DG47" s="930"/>
      <c r="DH47" s="930"/>
      <c r="DI47" s="930"/>
      <c r="DJ47" s="930"/>
      <c r="DK47" s="930"/>
      <c r="DL47" s="930"/>
      <c r="DM47" s="930"/>
      <c r="DN47" s="930"/>
      <c r="DO47" s="930"/>
      <c r="DP47" s="930"/>
      <c r="DQ47" s="930"/>
      <c r="DR47" s="930"/>
      <c r="DS47" s="930"/>
      <c r="DT47" s="930"/>
      <c r="DU47" s="930"/>
      <c r="DV47" s="930"/>
      <c r="DW47" s="930"/>
      <c r="DX47" s="930"/>
      <c r="DY47" s="930"/>
      <c r="DZ47" s="930"/>
      <c r="EA47" s="930"/>
      <c r="EB47" s="930"/>
      <c r="EC47" s="930"/>
      <c r="ED47" s="930"/>
      <c r="EE47" s="930"/>
      <c r="EF47" s="930"/>
      <c r="EG47" s="930"/>
      <c r="EH47" s="930"/>
      <c r="EI47" s="930"/>
      <c r="EJ47" s="930"/>
      <c r="EK47" s="930"/>
      <c r="EL47" s="930"/>
      <c r="EM47" s="930"/>
      <c r="EN47" s="930"/>
      <c r="EO47" s="930"/>
      <c r="EP47" s="930"/>
      <c r="EQ47" s="930"/>
      <c r="ER47" s="930"/>
      <c r="ES47" s="930"/>
      <c r="ET47" s="930"/>
      <c r="EU47" s="930"/>
      <c r="EV47" s="930"/>
      <c r="EW47" s="930"/>
      <c r="EX47" s="930"/>
      <c r="EY47" s="930"/>
      <c r="EZ47" s="930"/>
      <c r="FA47" s="930"/>
      <c r="FB47" s="930"/>
      <c r="FC47" s="930"/>
      <c r="FD47" s="930"/>
      <c r="FE47" s="930"/>
      <c r="FF47" s="930"/>
      <c r="FG47" s="930"/>
      <c r="FH47" s="930"/>
      <c r="FI47" s="930"/>
      <c r="FJ47" s="930"/>
      <c r="FK47" s="930"/>
      <c r="FL47" s="930"/>
      <c r="FM47" s="930"/>
      <c r="FN47" s="930"/>
      <c r="FO47" s="930"/>
      <c r="FP47" s="930"/>
      <c r="FQ47" s="930"/>
      <c r="FR47" s="930"/>
      <c r="FS47" s="930"/>
      <c r="FT47" s="930"/>
      <c r="FU47" s="930"/>
      <c r="FV47" s="930"/>
      <c r="FW47" s="930"/>
      <c r="FX47" s="930"/>
      <c r="FY47" s="930"/>
      <c r="FZ47" s="930"/>
      <c r="GA47" s="930"/>
      <c r="GB47" s="930"/>
      <c r="GC47" s="930"/>
      <c r="GD47" s="930"/>
      <c r="GE47" s="930"/>
      <c r="GF47" s="930"/>
      <c r="GG47" s="930"/>
      <c r="GH47" s="930"/>
      <c r="GI47" s="930"/>
      <c r="GJ47" s="930"/>
      <c r="GK47" s="930"/>
      <c r="GL47" s="930"/>
      <c r="GM47" s="930"/>
      <c r="GN47" s="930"/>
      <c r="GO47" s="930"/>
      <c r="GP47" s="930"/>
      <c r="GQ47" s="930"/>
      <c r="GR47" s="930"/>
      <c r="GS47" s="930"/>
      <c r="GT47" s="930"/>
      <c r="GU47" s="930"/>
      <c r="GV47" s="930"/>
      <c r="GW47" s="930"/>
      <c r="GX47" s="930"/>
      <c r="GY47" s="930"/>
      <c r="GZ47" s="930"/>
      <c r="HA47" s="930"/>
      <c r="HB47" s="930"/>
      <c r="HC47" s="930"/>
      <c r="HD47" s="930"/>
      <c r="HE47" s="930"/>
      <c r="HF47" s="930"/>
      <c r="HG47" s="930"/>
      <c r="HH47" s="930"/>
      <c r="HI47" s="930"/>
      <c r="HJ47" s="930"/>
      <c r="HK47" s="930"/>
      <c r="HL47" s="930"/>
      <c r="HM47" s="930"/>
      <c r="HN47" s="930"/>
      <c r="HO47" s="930"/>
      <c r="HP47" s="930"/>
      <c r="HQ47" s="930"/>
      <c r="HR47" s="930"/>
      <c r="HS47" s="930"/>
      <c r="HT47" s="930"/>
      <c r="HU47" s="930"/>
      <c r="HV47" s="930"/>
      <c r="HW47" s="930"/>
      <c r="HX47" s="930"/>
      <c r="HY47" s="930"/>
      <c r="HZ47" s="930"/>
      <c r="IA47" s="930"/>
      <c r="IB47" s="930"/>
      <c r="IC47" s="930"/>
      <c r="ID47" s="930"/>
      <c r="IE47" s="930"/>
      <c r="IF47" s="930"/>
      <c r="IG47" s="930"/>
      <c r="IH47" s="930"/>
      <c r="II47" s="930"/>
      <c r="IJ47" s="930"/>
      <c r="IK47" s="930"/>
      <c r="IL47" s="930"/>
      <c r="IM47" s="930"/>
      <c r="IN47" s="930"/>
      <c r="IO47" s="930"/>
      <c r="IP47" s="930"/>
      <c r="IQ47" s="930"/>
      <c r="IR47" s="930"/>
      <c r="IS47" s="930"/>
      <c r="IT47" s="930"/>
      <c r="IU47" s="930"/>
      <c r="IV47" s="930"/>
    </row>
    <row r="48" spans="1:256">
      <c r="A48" s="935">
        <f t="shared" si="9"/>
        <v>27</v>
      </c>
      <c r="B48" s="931" t="s">
        <v>360</v>
      </c>
      <c r="C48" s="1128">
        <f t="shared" si="10"/>
        <v>0</v>
      </c>
      <c r="D48" s="1128">
        <f>D47+C48</f>
        <v>0</v>
      </c>
      <c r="E48" s="931">
        <v>31</v>
      </c>
      <c r="F48" s="869">
        <v>276</v>
      </c>
      <c r="G48" s="1129">
        <f t="shared" si="6"/>
        <v>0.75616438356164384</v>
      </c>
      <c r="H48" s="1128">
        <f t="shared" si="7"/>
        <v>0</v>
      </c>
      <c r="I48" s="1128">
        <f t="shared" si="8"/>
        <v>0</v>
      </c>
      <c r="J48" s="930"/>
      <c r="K48" s="930"/>
      <c r="L48" s="930"/>
      <c r="M48" s="930"/>
      <c r="N48" s="930"/>
      <c r="O48" s="930"/>
      <c r="P48" s="930"/>
      <c r="Q48" s="930"/>
      <c r="R48" s="930"/>
      <c r="S48" s="930"/>
      <c r="T48" s="930"/>
      <c r="U48" s="930"/>
      <c r="V48" s="930"/>
      <c r="W48" s="930"/>
      <c r="X48" s="930"/>
      <c r="Y48" s="930"/>
      <c r="Z48" s="930"/>
      <c r="AA48" s="930"/>
      <c r="AB48" s="930"/>
      <c r="AC48" s="930"/>
      <c r="AD48" s="930"/>
      <c r="AE48" s="930"/>
      <c r="AF48" s="930"/>
      <c r="AG48" s="930"/>
      <c r="AH48" s="930"/>
      <c r="AI48" s="930"/>
      <c r="AJ48" s="930"/>
      <c r="AK48" s="930"/>
      <c r="AL48" s="930"/>
      <c r="AM48" s="930"/>
      <c r="AN48" s="930"/>
      <c r="AO48" s="930"/>
      <c r="AP48" s="930"/>
      <c r="AQ48" s="930"/>
      <c r="AR48" s="930"/>
      <c r="AS48" s="930"/>
      <c r="AT48" s="930"/>
      <c r="AU48" s="930"/>
      <c r="AV48" s="930"/>
      <c r="AW48" s="930"/>
      <c r="AX48" s="930"/>
      <c r="AY48" s="930"/>
      <c r="AZ48" s="930"/>
      <c r="BA48" s="930"/>
      <c r="BB48" s="930"/>
      <c r="BC48" s="930"/>
      <c r="BD48" s="930"/>
      <c r="BE48" s="930"/>
      <c r="BF48" s="930"/>
      <c r="BG48" s="930"/>
      <c r="BH48" s="930"/>
      <c r="BI48" s="930"/>
      <c r="BJ48" s="930"/>
      <c r="BK48" s="930"/>
      <c r="BL48" s="930"/>
      <c r="BM48" s="930"/>
      <c r="BN48" s="930"/>
      <c r="BO48" s="930"/>
      <c r="BP48" s="930"/>
      <c r="BQ48" s="930"/>
      <c r="BR48" s="930"/>
      <c r="BS48" s="930"/>
      <c r="BT48" s="930"/>
      <c r="BU48" s="930"/>
      <c r="BV48" s="930"/>
      <c r="BW48" s="930"/>
      <c r="BX48" s="930"/>
      <c r="BY48" s="930"/>
      <c r="BZ48" s="930"/>
      <c r="CA48" s="930"/>
      <c r="CB48" s="930"/>
      <c r="CC48" s="930"/>
      <c r="CD48" s="930"/>
      <c r="CE48" s="930"/>
      <c r="CF48" s="930"/>
      <c r="CG48" s="930"/>
      <c r="CH48" s="930"/>
      <c r="CI48" s="930"/>
      <c r="CJ48" s="930"/>
      <c r="CK48" s="930"/>
      <c r="CL48" s="930"/>
      <c r="CM48" s="930"/>
      <c r="CN48" s="930"/>
      <c r="CO48" s="930"/>
      <c r="CP48" s="930"/>
      <c r="CQ48" s="930"/>
      <c r="CR48" s="930"/>
      <c r="CS48" s="930"/>
      <c r="CT48" s="930"/>
      <c r="CU48" s="930"/>
      <c r="CV48" s="930"/>
      <c r="CW48" s="930"/>
      <c r="CX48" s="930"/>
      <c r="CY48" s="930"/>
      <c r="CZ48" s="930"/>
      <c r="DA48" s="930"/>
      <c r="DB48" s="930"/>
      <c r="DC48" s="930"/>
      <c r="DD48" s="930"/>
      <c r="DE48" s="930"/>
      <c r="DF48" s="930"/>
      <c r="DG48" s="930"/>
      <c r="DH48" s="930"/>
      <c r="DI48" s="930"/>
      <c r="DJ48" s="930"/>
      <c r="DK48" s="930"/>
      <c r="DL48" s="930"/>
      <c r="DM48" s="930"/>
      <c r="DN48" s="930"/>
      <c r="DO48" s="930"/>
      <c r="DP48" s="930"/>
      <c r="DQ48" s="930"/>
      <c r="DR48" s="930"/>
      <c r="DS48" s="930"/>
      <c r="DT48" s="930"/>
      <c r="DU48" s="930"/>
      <c r="DV48" s="930"/>
      <c r="DW48" s="930"/>
      <c r="DX48" s="930"/>
      <c r="DY48" s="930"/>
      <c r="DZ48" s="930"/>
      <c r="EA48" s="930"/>
      <c r="EB48" s="930"/>
      <c r="EC48" s="930"/>
      <c r="ED48" s="930"/>
      <c r="EE48" s="930"/>
      <c r="EF48" s="930"/>
      <c r="EG48" s="930"/>
      <c r="EH48" s="930"/>
      <c r="EI48" s="930"/>
      <c r="EJ48" s="930"/>
      <c r="EK48" s="930"/>
      <c r="EL48" s="930"/>
      <c r="EM48" s="930"/>
      <c r="EN48" s="930"/>
      <c r="EO48" s="930"/>
      <c r="EP48" s="930"/>
      <c r="EQ48" s="930"/>
      <c r="ER48" s="930"/>
      <c r="ES48" s="930"/>
      <c r="ET48" s="930"/>
      <c r="EU48" s="930"/>
      <c r="EV48" s="930"/>
      <c r="EW48" s="930"/>
      <c r="EX48" s="930"/>
      <c r="EY48" s="930"/>
      <c r="EZ48" s="930"/>
      <c r="FA48" s="930"/>
      <c r="FB48" s="930"/>
      <c r="FC48" s="930"/>
      <c r="FD48" s="930"/>
      <c r="FE48" s="930"/>
      <c r="FF48" s="930"/>
      <c r="FG48" s="930"/>
      <c r="FH48" s="930"/>
      <c r="FI48" s="930"/>
      <c r="FJ48" s="930"/>
      <c r="FK48" s="930"/>
      <c r="FL48" s="930"/>
      <c r="FM48" s="930"/>
      <c r="FN48" s="930"/>
      <c r="FO48" s="930"/>
      <c r="FP48" s="930"/>
      <c r="FQ48" s="930"/>
      <c r="FR48" s="930"/>
      <c r="FS48" s="930"/>
      <c r="FT48" s="930"/>
      <c r="FU48" s="930"/>
      <c r="FV48" s="930"/>
      <c r="FW48" s="930"/>
      <c r="FX48" s="930"/>
      <c r="FY48" s="930"/>
      <c r="FZ48" s="930"/>
      <c r="GA48" s="930"/>
      <c r="GB48" s="930"/>
      <c r="GC48" s="930"/>
      <c r="GD48" s="930"/>
      <c r="GE48" s="930"/>
      <c r="GF48" s="930"/>
      <c r="GG48" s="930"/>
      <c r="GH48" s="930"/>
      <c r="GI48" s="930"/>
      <c r="GJ48" s="930"/>
      <c r="GK48" s="930"/>
      <c r="GL48" s="930"/>
      <c r="GM48" s="930"/>
      <c r="GN48" s="930"/>
      <c r="GO48" s="930"/>
      <c r="GP48" s="930"/>
      <c r="GQ48" s="930"/>
      <c r="GR48" s="930"/>
      <c r="GS48" s="930"/>
      <c r="GT48" s="930"/>
      <c r="GU48" s="930"/>
      <c r="GV48" s="930"/>
      <c r="GW48" s="930"/>
      <c r="GX48" s="930"/>
      <c r="GY48" s="930"/>
      <c r="GZ48" s="930"/>
      <c r="HA48" s="930"/>
      <c r="HB48" s="930"/>
      <c r="HC48" s="930"/>
      <c r="HD48" s="930"/>
      <c r="HE48" s="930"/>
      <c r="HF48" s="930"/>
      <c r="HG48" s="930"/>
      <c r="HH48" s="930"/>
      <c r="HI48" s="930"/>
      <c r="HJ48" s="930"/>
      <c r="HK48" s="930"/>
      <c r="HL48" s="930"/>
      <c r="HM48" s="930"/>
      <c r="HN48" s="930"/>
      <c r="HO48" s="930"/>
      <c r="HP48" s="930"/>
      <c r="HQ48" s="930"/>
      <c r="HR48" s="930"/>
      <c r="HS48" s="930"/>
      <c r="HT48" s="930"/>
      <c r="HU48" s="930"/>
      <c r="HV48" s="930"/>
      <c r="HW48" s="930"/>
      <c r="HX48" s="930"/>
      <c r="HY48" s="930"/>
      <c r="HZ48" s="930"/>
      <c r="IA48" s="930"/>
      <c r="IB48" s="930"/>
      <c r="IC48" s="930"/>
      <c r="ID48" s="930"/>
      <c r="IE48" s="930"/>
      <c r="IF48" s="930"/>
      <c r="IG48" s="930"/>
      <c r="IH48" s="930"/>
      <c r="II48" s="930"/>
      <c r="IJ48" s="930"/>
      <c r="IK48" s="930"/>
      <c r="IL48" s="930"/>
      <c r="IM48" s="930"/>
      <c r="IN48" s="930"/>
      <c r="IO48" s="930"/>
      <c r="IP48" s="930"/>
      <c r="IQ48" s="930"/>
      <c r="IR48" s="930"/>
      <c r="IS48" s="930"/>
      <c r="IT48" s="930"/>
      <c r="IU48" s="930"/>
      <c r="IV48" s="930"/>
    </row>
    <row r="49" spans="1:256">
      <c r="A49" s="935">
        <f t="shared" si="9"/>
        <v>28</v>
      </c>
      <c r="B49" s="931" t="s">
        <v>361</v>
      </c>
      <c r="C49" s="1128">
        <f t="shared" si="10"/>
        <v>0</v>
      </c>
      <c r="D49" s="1128">
        <f t="shared" ref="D49:D57" si="11">D48+C49</f>
        <v>0</v>
      </c>
      <c r="E49" s="931">
        <v>30</v>
      </c>
      <c r="F49" s="869">
        <v>246</v>
      </c>
      <c r="G49" s="1129">
        <f t="shared" si="6"/>
        <v>0.67397260273972603</v>
      </c>
      <c r="H49" s="1128">
        <f t="shared" si="7"/>
        <v>0</v>
      </c>
      <c r="I49" s="1128">
        <f t="shared" si="8"/>
        <v>0</v>
      </c>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0"/>
      <c r="AY49" s="930"/>
      <c r="AZ49" s="930"/>
      <c r="BA49" s="930"/>
      <c r="BB49" s="930"/>
      <c r="BC49" s="930"/>
      <c r="BD49" s="930"/>
      <c r="BE49" s="930"/>
      <c r="BF49" s="930"/>
      <c r="BG49" s="930"/>
      <c r="BH49" s="930"/>
      <c r="BI49" s="930"/>
      <c r="BJ49" s="930"/>
      <c r="BK49" s="930"/>
      <c r="BL49" s="930"/>
      <c r="BM49" s="930"/>
      <c r="BN49" s="930"/>
      <c r="BO49" s="930"/>
      <c r="BP49" s="930"/>
      <c r="BQ49" s="930"/>
      <c r="BR49" s="930"/>
      <c r="BS49" s="930"/>
      <c r="BT49" s="930"/>
      <c r="BU49" s="930"/>
      <c r="BV49" s="930"/>
      <c r="BW49" s="930"/>
      <c r="BX49" s="930"/>
      <c r="BY49" s="930"/>
      <c r="BZ49" s="930"/>
      <c r="CA49" s="930"/>
      <c r="CB49" s="930"/>
      <c r="CC49" s="930"/>
      <c r="CD49" s="930"/>
      <c r="CE49" s="930"/>
      <c r="CF49" s="930"/>
      <c r="CG49" s="930"/>
      <c r="CH49" s="930"/>
      <c r="CI49" s="930"/>
      <c r="CJ49" s="930"/>
      <c r="CK49" s="930"/>
      <c r="CL49" s="930"/>
      <c r="CM49" s="930"/>
      <c r="CN49" s="930"/>
      <c r="CO49" s="930"/>
      <c r="CP49" s="930"/>
      <c r="CQ49" s="930"/>
      <c r="CR49" s="930"/>
      <c r="CS49" s="930"/>
      <c r="CT49" s="930"/>
      <c r="CU49" s="930"/>
      <c r="CV49" s="930"/>
      <c r="CW49" s="930"/>
      <c r="CX49" s="930"/>
      <c r="CY49" s="930"/>
      <c r="CZ49" s="930"/>
      <c r="DA49" s="930"/>
      <c r="DB49" s="930"/>
      <c r="DC49" s="930"/>
      <c r="DD49" s="930"/>
      <c r="DE49" s="930"/>
      <c r="DF49" s="930"/>
      <c r="DG49" s="930"/>
      <c r="DH49" s="930"/>
      <c r="DI49" s="930"/>
      <c r="DJ49" s="930"/>
      <c r="DK49" s="930"/>
      <c r="DL49" s="930"/>
      <c r="DM49" s="930"/>
      <c r="DN49" s="930"/>
      <c r="DO49" s="930"/>
      <c r="DP49" s="930"/>
      <c r="DQ49" s="930"/>
      <c r="DR49" s="930"/>
      <c r="DS49" s="930"/>
      <c r="DT49" s="930"/>
      <c r="DU49" s="930"/>
      <c r="DV49" s="930"/>
      <c r="DW49" s="930"/>
      <c r="DX49" s="930"/>
      <c r="DY49" s="930"/>
      <c r="DZ49" s="930"/>
      <c r="EA49" s="930"/>
      <c r="EB49" s="930"/>
      <c r="EC49" s="930"/>
      <c r="ED49" s="930"/>
      <c r="EE49" s="930"/>
      <c r="EF49" s="930"/>
      <c r="EG49" s="930"/>
      <c r="EH49" s="930"/>
      <c r="EI49" s="930"/>
      <c r="EJ49" s="930"/>
      <c r="EK49" s="930"/>
      <c r="EL49" s="930"/>
      <c r="EM49" s="930"/>
      <c r="EN49" s="930"/>
      <c r="EO49" s="930"/>
      <c r="EP49" s="930"/>
      <c r="EQ49" s="930"/>
      <c r="ER49" s="930"/>
      <c r="ES49" s="930"/>
      <c r="ET49" s="930"/>
      <c r="EU49" s="930"/>
      <c r="EV49" s="930"/>
      <c r="EW49" s="930"/>
      <c r="EX49" s="930"/>
      <c r="EY49" s="930"/>
      <c r="EZ49" s="930"/>
      <c r="FA49" s="930"/>
      <c r="FB49" s="930"/>
      <c r="FC49" s="930"/>
      <c r="FD49" s="930"/>
      <c r="FE49" s="930"/>
      <c r="FF49" s="930"/>
      <c r="FG49" s="930"/>
      <c r="FH49" s="930"/>
      <c r="FI49" s="930"/>
      <c r="FJ49" s="930"/>
      <c r="FK49" s="930"/>
      <c r="FL49" s="930"/>
      <c r="FM49" s="930"/>
      <c r="FN49" s="930"/>
      <c r="FO49" s="930"/>
      <c r="FP49" s="930"/>
      <c r="FQ49" s="930"/>
      <c r="FR49" s="930"/>
      <c r="FS49" s="930"/>
      <c r="FT49" s="930"/>
      <c r="FU49" s="930"/>
      <c r="FV49" s="930"/>
      <c r="FW49" s="930"/>
      <c r="FX49" s="930"/>
      <c r="FY49" s="930"/>
      <c r="FZ49" s="930"/>
      <c r="GA49" s="930"/>
      <c r="GB49" s="930"/>
      <c r="GC49" s="930"/>
      <c r="GD49" s="930"/>
      <c r="GE49" s="930"/>
      <c r="GF49" s="930"/>
      <c r="GG49" s="930"/>
      <c r="GH49" s="930"/>
      <c r="GI49" s="930"/>
      <c r="GJ49" s="930"/>
      <c r="GK49" s="930"/>
      <c r="GL49" s="930"/>
      <c r="GM49" s="930"/>
      <c r="GN49" s="930"/>
      <c r="GO49" s="930"/>
      <c r="GP49" s="930"/>
      <c r="GQ49" s="930"/>
      <c r="GR49" s="930"/>
      <c r="GS49" s="930"/>
      <c r="GT49" s="930"/>
      <c r="GU49" s="930"/>
      <c r="GV49" s="930"/>
      <c r="GW49" s="930"/>
      <c r="GX49" s="930"/>
      <c r="GY49" s="930"/>
      <c r="GZ49" s="930"/>
      <c r="HA49" s="930"/>
      <c r="HB49" s="930"/>
      <c r="HC49" s="930"/>
      <c r="HD49" s="930"/>
      <c r="HE49" s="930"/>
      <c r="HF49" s="930"/>
      <c r="HG49" s="930"/>
      <c r="HH49" s="930"/>
      <c r="HI49" s="930"/>
      <c r="HJ49" s="930"/>
      <c r="HK49" s="930"/>
      <c r="HL49" s="930"/>
      <c r="HM49" s="930"/>
      <c r="HN49" s="930"/>
      <c r="HO49" s="930"/>
      <c r="HP49" s="930"/>
      <c r="HQ49" s="930"/>
      <c r="HR49" s="930"/>
      <c r="HS49" s="930"/>
      <c r="HT49" s="930"/>
      <c r="HU49" s="930"/>
      <c r="HV49" s="930"/>
      <c r="HW49" s="930"/>
      <c r="HX49" s="930"/>
      <c r="HY49" s="930"/>
      <c r="HZ49" s="930"/>
      <c r="IA49" s="930"/>
      <c r="IB49" s="930"/>
      <c r="IC49" s="930"/>
      <c r="ID49" s="930"/>
      <c r="IE49" s="930"/>
      <c r="IF49" s="930"/>
      <c r="IG49" s="930"/>
      <c r="IH49" s="930"/>
      <c r="II49" s="930"/>
      <c r="IJ49" s="930"/>
      <c r="IK49" s="930"/>
      <c r="IL49" s="930"/>
      <c r="IM49" s="930"/>
      <c r="IN49" s="930"/>
      <c r="IO49" s="930"/>
      <c r="IP49" s="930"/>
      <c r="IQ49" s="930"/>
      <c r="IR49" s="930"/>
      <c r="IS49" s="930"/>
      <c r="IT49" s="930"/>
      <c r="IU49" s="930"/>
      <c r="IV49" s="930"/>
    </row>
    <row r="50" spans="1:256">
      <c r="A50" s="935">
        <f t="shared" si="9"/>
        <v>29</v>
      </c>
      <c r="B50" s="931" t="s">
        <v>362</v>
      </c>
      <c r="C50" s="1128">
        <f t="shared" si="10"/>
        <v>0</v>
      </c>
      <c r="D50" s="1128">
        <f t="shared" si="11"/>
        <v>0</v>
      </c>
      <c r="E50" s="931">
        <v>31</v>
      </c>
      <c r="F50" s="869">
        <v>215</v>
      </c>
      <c r="G50" s="1129">
        <f t="shared" si="6"/>
        <v>0.58904109589041098</v>
      </c>
      <c r="H50" s="1128">
        <f t="shared" si="7"/>
        <v>0</v>
      </c>
      <c r="I50" s="1128">
        <f t="shared" si="8"/>
        <v>0</v>
      </c>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0"/>
      <c r="AY50" s="930"/>
      <c r="AZ50" s="930"/>
      <c r="BA50" s="930"/>
      <c r="BB50" s="930"/>
      <c r="BC50" s="930"/>
      <c r="BD50" s="930"/>
      <c r="BE50" s="930"/>
      <c r="BF50" s="930"/>
      <c r="BG50" s="930"/>
      <c r="BH50" s="930"/>
      <c r="BI50" s="930"/>
      <c r="BJ50" s="930"/>
      <c r="BK50" s="930"/>
      <c r="BL50" s="930"/>
      <c r="BM50" s="930"/>
      <c r="BN50" s="930"/>
      <c r="BO50" s="930"/>
      <c r="BP50" s="930"/>
      <c r="BQ50" s="930"/>
      <c r="BR50" s="930"/>
      <c r="BS50" s="930"/>
      <c r="BT50" s="930"/>
      <c r="BU50" s="930"/>
      <c r="BV50" s="930"/>
      <c r="BW50" s="930"/>
      <c r="BX50" s="930"/>
      <c r="BY50" s="930"/>
      <c r="BZ50" s="930"/>
      <c r="CA50" s="930"/>
      <c r="CB50" s="930"/>
      <c r="CC50" s="930"/>
      <c r="CD50" s="930"/>
      <c r="CE50" s="930"/>
      <c r="CF50" s="930"/>
      <c r="CG50" s="930"/>
      <c r="CH50" s="930"/>
      <c r="CI50" s="930"/>
      <c r="CJ50" s="930"/>
      <c r="CK50" s="930"/>
      <c r="CL50" s="930"/>
      <c r="CM50" s="930"/>
      <c r="CN50" s="930"/>
      <c r="CO50" s="930"/>
      <c r="CP50" s="930"/>
      <c r="CQ50" s="930"/>
      <c r="CR50" s="930"/>
      <c r="CS50" s="930"/>
      <c r="CT50" s="930"/>
      <c r="CU50" s="930"/>
      <c r="CV50" s="930"/>
      <c r="CW50" s="930"/>
      <c r="CX50" s="930"/>
      <c r="CY50" s="930"/>
      <c r="CZ50" s="930"/>
      <c r="DA50" s="930"/>
      <c r="DB50" s="930"/>
      <c r="DC50" s="930"/>
      <c r="DD50" s="930"/>
      <c r="DE50" s="930"/>
      <c r="DF50" s="930"/>
      <c r="DG50" s="930"/>
      <c r="DH50" s="930"/>
      <c r="DI50" s="930"/>
      <c r="DJ50" s="930"/>
      <c r="DK50" s="930"/>
      <c r="DL50" s="930"/>
      <c r="DM50" s="930"/>
      <c r="DN50" s="930"/>
      <c r="DO50" s="930"/>
      <c r="DP50" s="930"/>
      <c r="DQ50" s="930"/>
      <c r="DR50" s="930"/>
      <c r="DS50" s="930"/>
      <c r="DT50" s="930"/>
      <c r="DU50" s="930"/>
      <c r="DV50" s="930"/>
      <c r="DW50" s="930"/>
      <c r="DX50" s="930"/>
      <c r="DY50" s="930"/>
      <c r="DZ50" s="930"/>
      <c r="EA50" s="930"/>
      <c r="EB50" s="930"/>
      <c r="EC50" s="930"/>
      <c r="ED50" s="930"/>
      <c r="EE50" s="930"/>
      <c r="EF50" s="930"/>
      <c r="EG50" s="930"/>
      <c r="EH50" s="930"/>
      <c r="EI50" s="930"/>
      <c r="EJ50" s="930"/>
      <c r="EK50" s="930"/>
      <c r="EL50" s="930"/>
      <c r="EM50" s="930"/>
      <c r="EN50" s="930"/>
      <c r="EO50" s="930"/>
      <c r="EP50" s="930"/>
      <c r="EQ50" s="930"/>
      <c r="ER50" s="930"/>
      <c r="ES50" s="930"/>
      <c r="ET50" s="930"/>
      <c r="EU50" s="930"/>
      <c r="EV50" s="930"/>
      <c r="EW50" s="930"/>
      <c r="EX50" s="930"/>
      <c r="EY50" s="930"/>
      <c r="EZ50" s="930"/>
      <c r="FA50" s="930"/>
      <c r="FB50" s="930"/>
      <c r="FC50" s="930"/>
      <c r="FD50" s="930"/>
      <c r="FE50" s="930"/>
      <c r="FF50" s="930"/>
      <c r="FG50" s="930"/>
      <c r="FH50" s="930"/>
      <c r="FI50" s="930"/>
      <c r="FJ50" s="930"/>
      <c r="FK50" s="930"/>
      <c r="FL50" s="930"/>
      <c r="FM50" s="930"/>
      <c r="FN50" s="930"/>
      <c r="FO50" s="930"/>
      <c r="FP50" s="930"/>
      <c r="FQ50" s="930"/>
      <c r="FR50" s="930"/>
      <c r="FS50" s="930"/>
      <c r="FT50" s="930"/>
      <c r="FU50" s="930"/>
      <c r="FV50" s="930"/>
      <c r="FW50" s="930"/>
      <c r="FX50" s="930"/>
      <c r="FY50" s="930"/>
      <c r="FZ50" s="930"/>
      <c r="GA50" s="930"/>
      <c r="GB50" s="930"/>
      <c r="GC50" s="930"/>
      <c r="GD50" s="930"/>
      <c r="GE50" s="930"/>
      <c r="GF50" s="930"/>
      <c r="GG50" s="930"/>
      <c r="GH50" s="930"/>
      <c r="GI50" s="930"/>
      <c r="GJ50" s="930"/>
      <c r="GK50" s="930"/>
      <c r="GL50" s="930"/>
      <c r="GM50" s="930"/>
      <c r="GN50" s="930"/>
      <c r="GO50" s="930"/>
      <c r="GP50" s="930"/>
      <c r="GQ50" s="930"/>
      <c r="GR50" s="930"/>
      <c r="GS50" s="930"/>
      <c r="GT50" s="930"/>
      <c r="GU50" s="930"/>
      <c r="GV50" s="930"/>
      <c r="GW50" s="930"/>
      <c r="GX50" s="930"/>
      <c r="GY50" s="930"/>
      <c r="GZ50" s="930"/>
      <c r="HA50" s="930"/>
      <c r="HB50" s="930"/>
      <c r="HC50" s="930"/>
      <c r="HD50" s="930"/>
      <c r="HE50" s="930"/>
      <c r="HF50" s="930"/>
      <c r="HG50" s="930"/>
      <c r="HH50" s="930"/>
      <c r="HI50" s="930"/>
      <c r="HJ50" s="930"/>
      <c r="HK50" s="930"/>
      <c r="HL50" s="930"/>
      <c r="HM50" s="930"/>
      <c r="HN50" s="930"/>
      <c r="HO50" s="930"/>
      <c r="HP50" s="930"/>
      <c r="HQ50" s="930"/>
      <c r="HR50" s="930"/>
      <c r="HS50" s="930"/>
      <c r="HT50" s="930"/>
      <c r="HU50" s="930"/>
      <c r="HV50" s="930"/>
      <c r="HW50" s="930"/>
      <c r="HX50" s="930"/>
      <c r="HY50" s="930"/>
      <c r="HZ50" s="930"/>
      <c r="IA50" s="930"/>
      <c r="IB50" s="930"/>
      <c r="IC50" s="930"/>
      <c r="ID50" s="930"/>
      <c r="IE50" s="930"/>
      <c r="IF50" s="930"/>
      <c r="IG50" s="930"/>
      <c r="IH50" s="930"/>
      <c r="II50" s="930"/>
      <c r="IJ50" s="930"/>
      <c r="IK50" s="930"/>
      <c r="IL50" s="930"/>
      <c r="IM50" s="930"/>
      <c r="IN50" s="930"/>
      <c r="IO50" s="930"/>
      <c r="IP50" s="930"/>
      <c r="IQ50" s="930"/>
      <c r="IR50" s="930"/>
      <c r="IS50" s="930"/>
      <c r="IT50" s="930"/>
      <c r="IU50" s="930"/>
      <c r="IV50" s="930"/>
    </row>
    <row r="51" spans="1:256">
      <c r="A51" s="935">
        <f t="shared" si="9"/>
        <v>30</v>
      </c>
      <c r="B51" s="931" t="s">
        <v>62</v>
      </c>
      <c r="C51" s="1128">
        <f t="shared" si="10"/>
        <v>0</v>
      </c>
      <c r="D51" s="1128">
        <f t="shared" si="11"/>
        <v>0</v>
      </c>
      <c r="E51" s="931">
        <v>30</v>
      </c>
      <c r="F51" s="869">
        <v>185</v>
      </c>
      <c r="G51" s="1129">
        <f t="shared" si="6"/>
        <v>0.50684931506849318</v>
      </c>
      <c r="H51" s="1128">
        <f t="shared" si="7"/>
        <v>0</v>
      </c>
      <c r="I51" s="1128">
        <f t="shared" si="8"/>
        <v>0</v>
      </c>
      <c r="J51" s="930"/>
      <c r="K51" s="930"/>
      <c r="L51" s="930"/>
      <c r="M51" s="930"/>
      <c r="N51" s="930"/>
      <c r="O51" s="930"/>
      <c r="P51" s="930"/>
      <c r="Q51" s="930"/>
      <c r="R51" s="930"/>
      <c r="S51" s="930"/>
      <c r="T51" s="930"/>
      <c r="U51" s="930"/>
      <c r="V51" s="930"/>
      <c r="W51" s="930"/>
      <c r="X51" s="930"/>
      <c r="Y51" s="930"/>
      <c r="Z51" s="930"/>
      <c r="AA51" s="930"/>
      <c r="AB51" s="930"/>
      <c r="AC51" s="930"/>
      <c r="AD51" s="930"/>
      <c r="AE51" s="930"/>
      <c r="AF51" s="930"/>
      <c r="AG51" s="930"/>
      <c r="AH51" s="930"/>
      <c r="AI51" s="930"/>
      <c r="AJ51" s="930"/>
      <c r="AK51" s="930"/>
      <c r="AL51" s="930"/>
      <c r="AM51" s="930"/>
      <c r="AN51" s="930"/>
      <c r="AO51" s="930"/>
      <c r="AP51" s="930"/>
      <c r="AQ51" s="930"/>
      <c r="AR51" s="930"/>
      <c r="AS51" s="930"/>
      <c r="AT51" s="930"/>
      <c r="AU51" s="930"/>
      <c r="AV51" s="930"/>
      <c r="AW51" s="930"/>
      <c r="AX51" s="930"/>
      <c r="AY51" s="930"/>
      <c r="AZ51" s="930"/>
      <c r="BA51" s="930"/>
      <c r="BB51" s="930"/>
      <c r="BC51" s="930"/>
      <c r="BD51" s="930"/>
      <c r="BE51" s="930"/>
      <c r="BF51" s="930"/>
      <c r="BG51" s="930"/>
      <c r="BH51" s="930"/>
      <c r="BI51" s="930"/>
      <c r="BJ51" s="930"/>
      <c r="BK51" s="930"/>
      <c r="BL51" s="930"/>
      <c r="BM51" s="930"/>
      <c r="BN51" s="930"/>
      <c r="BO51" s="930"/>
      <c r="BP51" s="930"/>
      <c r="BQ51" s="930"/>
      <c r="BR51" s="930"/>
      <c r="BS51" s="930"/>
      <c r="BT51" s="930"/>
      <c r="BU51" s="930"/>
      <c r="BV51" s="930"/>
      <c r="BW51" s="930"/>
      <c r="BX51" s="930"/>
      <c r="BY51" s="930"/>
      <c r="BZ51" s="930"/>
      <c r="CA51" s="930"/>
      <c r="CB51" s="930"/>
      <c r="CC51" s="930"/>
      <c r="CD51" s="930"/>
      <c r="CE51" s="930"/>
      <c r="CF51" s="930"/>
      <c r="CG51" s="930"/>
      <c r="CH51" s="930"/>
      <c r="CI51" s="930"/>
      <c r="CJ51" s="930"/>
      <c r="CK51" s="930"/>
      <c r="CL51" s="930"/>
      <c r="CM51" s="930"/>
      <c r="CN51" s="930"/>
      <c r="CO51" s="930"/>
      <c r="CP51" s="930"/>
      <c r="CQ51" s="930"/>
      <c r="CR51" s="930"/>
      <c r="CS51" s="930"/>
      <c r="CT51" s="930"/>
      <c r="CU51" s="930"/>
      <c r="CV51" s="930"/>
      <c r="CW51" s="930"/>
      <c r="CX51" s="930"/>
      <c r="CY51" s="930"/>
      <c r="CZ51" s="930"/>
      <c r="DA51" s="930"/>
      <c r="DB51" s="930"/>
      <c r="DC51" s="930"/>
      <c r="DD51" s="930"/>
      <c r="DE51" s="930"/>
      <c r="DF51" s="930"/>
      <c r="DG51" s="930"/>
      <c r="DH51" s="930"/>
      <c r="DI51" s="930"/>
      <c r="DJ51" s="930"/>
      <c r="DK51" s="930"/>
      <c r="DL51" s="930"/>
      <c r="DM51" s="930"/>
      <c r="DN51" s="930"/>
      <c r="DO51" s="930"/>
      <c r="DP51" s="930"/>
      <c r="DQ51" s="930"/>
      <c r="DR51" s="930"/>
      <c r="DS51" s="930"/>
      <c r="DT51" s="930"/>
      <c r="DU51" s="930"/>
      <c r="DV51" s="930"/>
      <c r="DW51" s="930"/>
      <c r="DX51" s="930"/>
      <c r="DY51" s="930"/>
      <c r="DZ51" s="930"/>
      <c r="EA51" s="930"/>
      <c r="EB51" s="930"/>
      <c r="EC51" s="930"/>
      <c r="ED51" s="930"/>
      <c r="EE51" s="930"/>
      <c r="EF51" s="930"/>
      <c r="EG51" s="930"/>
      <c r="EH51" s="930"/>
      <c r="EI51" s="930"/>
      <c r="EJ51" s="930"/>
      <c r="EK51" s="930"/>
      <c r="EL51" s="930"/>
      <c r="EM51" s="930"/>
      <c r="EN51" s="930"/>
      <c r="EO51" s="930"/>
      <c r="EP51" s="930"/>
      <c r="EQ51" s="930"/>
      <c r="ER51" s="930"/>
      <c r="ES51" s="930"/>
      <c r="ET51" s="930"/>
      <c r="EU51" s="930"/>
      <c r="EV51" s="930"/>
      <c r="EW51" s="930"/>
      <c r="EX51" s="930"/>
      <c r="EY51" s="930"/>
      <c r="EZ51" s="930"/>
      <c r="FA51" s="930"/>
      <c r="FB51" s="930"/>
      <c r="FC51" s="930"/>
      <c r="FD51" s="930"/>
      <c r="FE51" s="930"/>
      <c r="FF51" s="930"/>
      <c r="FG51" s="930"/>
      <c r="FH51" s="930"/>
      <c r="FI51" s="930"/>
      <c r="FJ51" s="930"/>
      <c r="FK51" s="930"/>
      <c r="FL51" s="930"/>
      <c r="FM51" s="930"/>
      <c r="FN51" s="930"/>
      <c r="FO51" s="930"/>
      <c r="FP51" s="930"/>
      <c r="FQ51" s="930"/>
      <c r="FR51" s="930"/>
      <c r="FS51" s="930"/>
      <c r="FT51" s="930"/>
      <c r="FU51" s="930"/>
      <c r="FV51" s="930"/>
      <c r="FW51" s="930"/>
      <c r="FX51" s="930"/>
      <c r="FY51" s="930"/>
      <c r="FZ51" s="930"/>
      <c r="GA51" s="930"/>
      <c r="GB51" s="930"/>
      <c r="GC51" s="930"/>
      <c r="GD51" s="930"/>
      <c r="GE51" s="930"/>
      <c r="GF51" s="930"/>
      <c r="GG51" s="930"/>
      <c r="GH51" s="930"/>
      <c r="GI51" s="930"/>
      <c r="GJ51" s="930"/>
      <c r="GK51" s="930"/>
      <c r="GL51" s="930"/>
      <c r="GM51" s="930"/>
      <c r="GN51" s="930"/>
      <c r="GO51" s="930"/>
      <c r="GP51" s="930"/>
      <c r="GQ51" s="930"/>
      <c r="GR51" s="930"/>
      <c r="GS51" s="930"/>
      <c r="GT51" s="930"/>
      <c r="GU51" s="930"/>
      <c r="GV51" s="930"/>
      <c r="GW51" s="930"/>
      <c r="GX51" s="930"/>
      <c r="GY51" s="930"/>
      <c r="GZ51" s="930"/>
      <c r="HA51" s="930"/>
      <c r="HB51" s="930"/>
      <c r="HC51" s="930"/>
      <c r="HD51" s="930"/>
      <c r="HE51" s="930"/>
      <c r="HF51" s="930"/>
      <c r="HG51" s="930"/>
      <c r="HH51" s="930"/>
      <c r="HI51" s="930"/>
      <c r="HJ51" s="930"/>
      <c r="HK51" s="930"/>
      <c r="HL51" s="930"/>
      <c r="HM51" s="930"/>
      <c r="HN51" s="930"/>
      <c r="HO51" s="930"/>
      <c r="HP51" s="930"/>
      <c r="HQ51" s="930"/>
      <c r="HR51" s="930"/>
      <c r="HS51" s="930"/>
      <c r="HT51" s="930"/>
      <c r="HU51" s="930"/>
      <c r="HV51" s="930"/>
      <c r="HW51" s="930"/>
      <c r="HX51" s="930"/>
      <c r="HY51" s="930"/>
      <c r="HZ51" s="930"/>
      <c r="IA51" s="930"/>
      <c r="IB51" s="930"/>
      <c r="IC51" s="930"/>
      <c r="ID51" s="930"/>
      <c r="IE51" s="930"/>
      <c r="IF51" s="930"/>
      <c r="IG51" s="930"/>
      <c r="IH51" s="930"/>
      <c r="II51" s="930"/>
      <c r="IJ51" s="930"/>
      <c r="IK51" s="930"/>
      <c r="IL51" s="930"/>
      <c r="IM51" s="930"/>
      <c r="IN51" s="930"/>
      <c r="IO51" s="930"/>
      <c r="IP51" s="930"/>
      <c r="IQ51" s="930"/>
      <c r="IR51" s="930"/>
      <c r="IS51" s="930"/>
      <c r="IT51" s="930"/>
      <c r="IU51" s="930"/>
      <c r="IV51" s="930"/>
    </row>
    <row r="52" spans="1:256">
      <c r="A52" s="935">
        <f t="shared" si="9"/>
        <v>31</v>
      </c>
      <c r="B52" s="931" t="s">
        <v>363</v>
      </c>
      <c r="C52" s="1128">
        <f t="shared" si="10"/>
        <v>0</v>
      </c>
      <c r="D52" s="1128">
        <f t="shared" si="11"/>
        <v>0</v>
      </c>
      <c r="E52" s="931">
        <v>31</v>
      </c>
      <c r="F52" s="869">
        <v>154</v>
      </c>
      <c r="G52" s="1129">
        <f t="shared" si="6"/>
        <v>0.42191780821917807</v>
      </c>
      <c r="H52" s="1128">
        <f t="shared" si="7"/>
        <v>0</v>
      </c>
      <c r="I52" s="1128">
        <f t="shared" si="8"/>
        <v>0</v>
      </c>
      <c r="J52" s="930"/>
      <c r="K52" s="930"/>
      <c r="L52" s="930"/>
      <c r="M52" s="930"/>
      <c r="N52" s="930"/>
      <c r="O52" s="930"/>
      <c r="P52" s="930"/>
      <c r="Q52" s="930"/>
      <c r="R52" s="930"/>
      <c r="S52" s="930"/>
      <c r="T52" s="930"/>
      <c r="U52" s="930"/>
      <c r="V52" s="930"/>
      <c r="W52" s="930"/>
      <c r="X52" s="930"/>
      <c r="Y52" s="930"/>
      <c r="Z52" s="930"/>
      <c r="AA52" s="930"/>
      <c r="AB52" s="930"/>
      <c r="AC52" s="930"/>
      <c r="AD52" s="930"/>
      <c r="AE52" s="930"/>
      <c r="AF52" s="930"/>
      <c r="AG52" s="930"/>
      <c r="AH52" s="930"/>
      <c r="AI52" s="930"/>
      <c r="AJ52" s="930"/>
      <c r="AK52" s="930"/>
      <c r="AL52" s="930"/>
      <c r="AM52" s="930"/>
      <c r="AN52" s="930"/>
      <c r="AO52" s="930"/>
      <c r="AP52" s="930"/>
      <c r="AQ52" s="930"/>
      <c r="AR52" s="930"/>
      <c r="AS52" s="930"/>
      <c r="AT52" s="930"/>
      <c r="AU52" s="930"/>
      <c r="AV52" s="930"/>
      <c r="AW52" s="930"/>
      <c r="AX52" s="930"/>
      <c r="AY52" s="930"/>
      <c r="AZ52" s="930"/>
      <c r="BA52" s="930"/>
      <c r="BB52" s="930"/>
      <c r="BC52" s="930"/>
      <c r="BD52" s="930"/>
      <c r="BE52" s="930"/>
      <c r="BF52" s="930"/>
      <c r="BG52" s="930"/>
      <c r="BH52" s="930"/>
      <c r="BI52" s="930"/>
      <c r="BJ52" s="930"/>
      <c r="BK52" s="930"/>
      <c r="BL52" s="930"/>
      <c r="BM52" s="930"/>
      <c r="BN52" s="930"/>
      <c r="BO52" s="930"/>
      <c r="BP52" s="930"/>
      <c r="BQ52" s="930"/>
      <c r="BR52" s="930"/>
      <c r="BS52" s="930"/>
      <c r="BT52" s="930"/>
      <c r="BU52" s="930"/>
      <c r="BV52" s="930"/>
      <c r="BW52" s="930"/>
      <c r="BX52" s="930"/>
      <c r="BY52" s="930"/>
      <c r="BZ52" s="930"/>
      <c r="CA52" s="930"/>
      <c r="CB52" s="930"/>
      <c r="CC52" s="930"/>
      <c r="CD52" s="930"/>
      <c r="CE52" s="930"/>
      <c r="CF52" s="930"/>
      <c r="CG52" s="930"/>
      <c r="CH52" s="930"/>
      <c r="CI52" s="930"/>
      <c r="CJ52" s="930"/>
      <c r="CK52" s="930"/>
      <c r="CL52" s="930"/>
      <c r="CM52" s="930"/>
      <c r="CN52" s="930"/>
      <c r="CO52" s="930"/>
      <c r="CP52" s="930"/>
      <c r="CQ52" s="930"/>
      <c r="CR52" s="930"/>
      <c r="CS52" s="930"/>
      <c r="CT52" s="930"/>
      <c r="CU52" s="930"/>
      <c r="CV52" s="930"/>
      <c r="CW52" s="930"/>
      <c r="CX52" s="930"/>
      <c r="CY52" s="930"/>
      <c r="CZ52" s="930"/>
      <c r="DA52" s="930"/>
      <c r="DB52" s="930"/>
      <c r="DC52" s="930"/>
      <c r="DD52" s="930"/>
      <c r="DE52" s="930"/>
      <c r="DF52" s="930"/>
      <c r="DG52" s="930"/>
      <c r="DH52" s="930"/>
      <c r="DI52" s="930"/>
      <c r="DJ52" s="930"/>
      <c r="DK52" s="930"/>
      <c r="DL52" s="930"/>
      <c r="DM52" s="930"/>
      <c r="DN52" s="930"/>
      <c r="DO52" s="930"/>
      <c r="DP52" s="930"/>
      <c r="DQ52" s="930"/>
      <c r="DR52" s="930"/>
      <c r="DS52" s="930"/>
      <c r="DT52" s="930"/>
      <c r="DU52" s="930"/>
      <c r="DV52" s="930"/>
      <c r="DW52" s="930"/>
      <c r="DX52" s="930"/>
      <c r="DY52" s="930"/>
      <c r="DZ52" s="930"/>
      <c r="EA52" s="930"/>
      <c r="EB52" s="930"/>
      <c r="EC52" s="930"/>
      <c r="ED52" s="930"/>
      <c r="EE52" s="930"/>
      <c r="EF52" s="930"/>
      <c r="EG52" s="930"/>
      <c r="EH52" s="930"/>
      <c r="EI52" s="930"/>
      <c r="EJ52" s="930"/>
      <c r="EK52" s="930"/>
      <c r="EL52" s="930"/>
      <c r="EM52" s="930"/>
      <c r="EN52" s="930"/>
      <c r="EO52" s="930"/>
      <c r="EP52" s="930"/>
      <c r="EQ52" s="930"/>
      <c r="ER52" s="930"/>
      <c r="ES52" s="930"/>
      <c r="ET52" s="930"/>
      <c r="EU52" s="930"/>
      <c r="EV52" s="930"/>
      <c r="EW52" s="930"/>
      <c r="EX52" s="930"/>
      <c r="EY52" s="930"/>
      <c r="EZ52" s="930"/>
      <c r="FA52" s="930"/>
      <c r="FB52" s="930"/>
      <c r="FC52" s="930"/>
      <c r="FD52" s="930"/>
      <c r="FE52" s="930"/>
      <c r="FF52" s="930"/>
      <c r="FG52" s="930"/>
      <c r="FH52" s="930"/>
      <c r="FI52" s="930"/>
      <c r="FJ52" s="930"/>
      <c r="FK52" s="930"/>
      <c r="FL52" s="930"/>
      <c r="FM52" s="930"/>
      <c r="FN52" s="930"/>
      <c r="FO52" s="930"/>
      <c r="FP52" s="930"/>
      <c r="FQ52" s="930"/>
      <c r="FR52" s="930"/>
      <c r="FS52" s="930"/>
      <c r="FT52" s="930"/>
      <c r="FU52" s="930"/>
      <c r="FV52" s="930"/>
      <c r="FW52" s="930"/>
      <c r="FX52" s="930"/>
      <c r="FY52" s="930"/>
      <c r="FZ52" s="930"/>
      <c r="GA52" s="930"/>
      <c r="GB52" s="930"/>
      <c r="GC52" s="930"/>
      <c r="GD52" s="930"/>
      <c r="GE52" s="930"/>
      <c r="GF52" s="930"/>
      <c r="GG52" s="930"/>
      <c r="GH52" s="930"/>
      <c r="GI52" s="930"/>
      <c r="GJ52" s="930"/>
      <c r="GK52" s="930"/>
      <c r="GL52" s="930"/>
      <c r="GM52" s="930"/>
      <c r="GN52" s="930"/>
      <c r="GO52" s="930"/>
      <c r="GP52" s="930"/>
      <c r="GQ52" s="930"/>
      <c r="GR52" s="930"/>
      <c r="GS52" s="930"/>
      <c r="GT52" s="930"/>
      <c r="GU52" s="930"/>
      <c r="GV52" s="930"/>
      <c r="GW52" s="930"/>
      <c r="GX52" s="930"/>
      <c r="GY52" s="930"/>
      <c r="GZ52" s="930"/>
      <c r="HA52" s="930"/>
      <c r="HB52" s="930"/>
      <c r="HC52" s="930"/>
      <c r="HD52" s="930"/>
      <c r="HE52" s="930"/>
      <c r="HF52" s="930"/>
      <c r="HG52" s="930"/>
      <c r="HH52" s="930"/>
      <c r="HI52" s="930"/>
      <c r="HJ52" s="930"/>
      <c r="HK52" s="930"/>
      <c r="HL52" s="930"/>
      <c r="HM52" s="930"/>
      <c r="HN52" s="930"/>
      <c r="HO52" s="930"/>
      <c r="HP52" s="930"/>
      <c r="HQ52" s="930"/>
      <c r="HR52" s="930"/>
      <c r="HS52" s="930"/>
      <c r="HT52" s="930"/>
      <c r="HU52" s="930"/>
      <c r="HV52" s="930"/>
      <c r="HW52" s="930"/>
      <c r="HX52" s="930"/>
      <c r="HY52" s="930"/>
      <c r="HZ52" s="930"/>
      <c r="IA52" s="930"/>
      <c r="IB52" s="930"/>
      <c r="IC52" s="930"/>
      <c r="ID52" s="930"/>
      <c r="IE52" s="930"/>
      <c r="IF52" s="930"/>
      <c r="IG52" s="930"/>
      <c r="IH52" s="930"/>
      <c r="II52" s="930"/>
      <c r="IJ52" s="930"/>
      <c r="IK52" s="930"/>
      <c r="IL52" s="930"/>
      <c r="IM52" s="930"/>
      <c r="IN52" s="930"/>
      <c r="IO52" s="930"/>
      <c r="IP52" s="930"/>
      <c r="IQ52" s="930"/>
      <c r="IR52" s="930"/>
      <c r="IS52" s="930"/>
      <c r="IT52" s="930"/>
      <c r="IU52" s="930"/>
      <c r="IV52" s="930"/>
    </row>
    <row r="53" spans="1:256">
      <c r="A53" s="935">
        <f t="shared" si="9"/>
        <v>32</v>
      </c>
      <c r="B53" s="931" t="s">
        <v>364</v>
      </c>
      <c r="C53" s="1128">
        <f t="shared" si="10"/>
        <v>0</v>
      </c>
      <c r="D53" s="1128">
        <f t="shared" si="11"/>
        <v>0</v>
      </c>
      <c r="E53" s="931">
        <v>31</v>
      </c>
      <c r="F53" s="869">
        <v>123</v>
      </c>
      <c r="G53" s="1129">
        <f t="shared" si="6"/>
        <v>0.33698630136986302</v>
      </c>
      <c r="H53" s="1128">
        <f t="shared" si="7"/>
        <v>0</v>
      </c>
      <c r="I53" s="1128">
        <f t="shared" si="8"/>
        <v>0</v>
      </c>
      <c r="J53" s="930"/>
      <c r="K53" s="930"/>
      <c r="L53" s="930"/>
      <c r="M53" s="930"/>
      <c r="N53" s="930"/>
      <c r="O53" s="930"/>
      <c r="P53" s="930"/>
      <c r="Q53" s="930"/>
      <c r="R53" s="930"/>
      <c r="S53" s="930"/>
      <c r="T53" s="930"/>
      <c r="U53" s="930"/>
      <c r="V53" s="930"/>
      <c r="W53" s="930"/>
      <c r="X53" s="930"/>
      <c r="Y53" s="930"/>
      <c r="Z53" s="930"/>
      <c r="AA53" s="930"/>
      <c r="AB53" s="930"/>
      <c r="AC53" s="930"/>
      <c r="AD53" s="930"/>
      <c r="AE53" s="930"/>
      <c r="AF53" s="930"/>
      <c r="AG53" s="930"/>
      <c r="AH53" s="930"/>
      <c r="AI53" s="930"/>
      <c r="AJ53" s="930"/>
      <c r="AK53" s="930"/>
      <c r="AL53" s="930"/>
      <c r="AM53" s="930"/>
      <c r="AN53" s="930"/>
      <c r="AO53" s="930"/>
      <c r="AP53" s="930"/>
      <c r="AQ53" s="930"/>
      <c r="AR53" s="930"/>
      <c r="AS53" s="930"/>
      <c r="AT53" s="930"/>
      <c r="AU53" s="930"/>
      <c r="AV53" s="930"/>
      <c r="AW53" s="930"/>
      <c r="AX53" s="930"/>
      <c r="AY53" s="930"/>
      <c r="AZ53" s="930"/>
      <c r="BA53" s="930"/>
      <c r="BB53" s="930"/>
      <c r="BC53" s="930"/>
      <c r="BD53" s="930"/>
      <c r="BE53" s="930"/>
      <c r="BF53" s="930"/>
      <c r="BG53" s="930"/>
      <c r="BH53" s="930"/>
      <c r="BI53" s="930"/>
      <c r="BJ53" s="930"/>
      <c r="BK53" s="930"/>
      <c r="BL53" s="930"/>
      <c r="BM53" s="930"/>
      <c r="BN53" s="930"/>
      <c r="BO53" s="930"/>
      <c r="BP53" s="930"/>
      <c r="BQ53" s="930"/>
      <c r="BR53" s="930"/>
      <c r="BS53" s="930"/>
      <c r="BT53" s="930"/>
      <c r="BU53" s="930"/>
      <c r="BV53" s="930"/>
      <c r="BW53" s="930"/>
      <c r="BX53" s="930"/>
      <c r="BY53" s="930"/>
      <c r="BZ53" s="930"/>
      <c r="CA53" s="930"/>
      <c r="CB53" s="930"/>
      <c r="CC53" s="930"/>
      <c r="CD53" s="930"/>
      <c r="CE53" s="930"/>
      <c r="CF53" s="930"/>
      <c r="CG53" s="930"/>
      <c r="CH53" s="930"/>
      <c r="CI53" s="930"/>
      <c r="CJ53" s="930"/>
      <c r="CK53" s="930"/>
      <c r="CL53" s="930"/>
      <c r="CM53" s="930"/>
      <c r="CN53" s="930"/>
      <c r="CO53" s="930"/>
      <c r="CP53" s="930"/>
      <c r="CQ53" s="930"/>
      <c r="CR53" s="930"/>
      <c r="CS53" s="930"/>
      <c r="CT53" s="930"/>
      <c r="CU53" s="930"/>
      <c r="CV53" s="930"/>
      <c r="CW53" s="930"/>
      <c r="CX53" s="930"/>
      <c r="CY53" s="930"/>
      <c r="CZ53" s="930"/>
      <c r="DA53" s="930"/>
      <c r="DB53" s="930"/>
      <c r="DC53" s="930"/>
      <c r="DD53" s="930"/>
      <c r="DE53" s="930"/>
      <c r="DF53" s="930"/>
      <c r="DG53" s="930"/>
      <c r="DH53" s="930"/>
      <c r="DI53" s="930"/>
      <c r="DJ53" s="930"/>
      <c r="DK53" s="930"/>
      <c r="DL53" s="930"/>
      <c r="DM53" s="930"/>
      <c r="DN53" s="930"/>
      <c r="DO53" s="930"/>
      <c r="DP53" s="930"/>
      <c r="DQ53" s="930"/>
      <c r="DR53" s="930"/>
      <c r="DS53" s="930"/>
      <c r="DT53" s="930"/>
      <c r="DU53" s="930"/>
      <c r="DV53" s="930"/>
      <c r="DW53" s="930"/>
      <c r="DX53" s="930"/>
      <c r="DY53" s="930"/>
      <c r="DZ53" s="930"/>
      <c r="EA53" s="930"/>
      <c r="EB53" s="930"/>
      <c r="EC53" s="930"/>
      <c r="ED53" s="930"/>
      <c r="EE53" s="930"/>
      <c r="EF53" s="930"/>
      <c r="EG53" s="930"/>
      <c r="EH53" s="930"/>
      <c r="EI53" s="930"/>
      <c r="EJ53" s="930"/>
      <c r="EK53" s="930"/>
      <c r="EL53" s="930"/>
      <c r="EM53" s="930"/>
      <c r="EN53" s="930"/>
      <c r="EO53" s="930"/>
      <c r="EP53" s="930"/>
      <c r="EQ53" s="930"/>
      <c r="ER53" s="930"/>
      <c r="ES53" s="930"/>
      <c r="ET53" s="930"/>
      <c r="EU53" s="930"/>
      <c r="EV53" s="930"/>
      <c r="EW53" s="930"/>
      <c r="EX53" s="930"/>
      <c r="EY53" s="930"/>
      <c r="EZ53" s="930"/>
      <c r="FA53" s="930"/>
      <c r="FB53" s="930"/>
      <c r="FC53" s="930"/>
      <c r="FD53" s="930"/>
      <c r="FE53" s="930"/>
      <c r="FF53" s="930"/>
      <c r="FG53" s="930"/>
      <c r="FH53" s="930"/>
      <c r="FI53" s="930"/>
      <c r="FJ53" s="930"/>
      <c r="FK53" s="930"/>
      <c r="FL53" s="930"/>
      <c r="FM53" s="930"/>
      <c r="FN53" s="930"/>
      <c r="FO53" s="930"/>
      <c r="FP53" s="930"/>
      <c r="FQ53" s="930"/>
      <c r="FR53" s="930"/>
      <c r="FS53" s="930"/>
      <c r="FT53" s="930"/>
      <c r="FU53" s="930"/>
      <c r="FV53" s="930"/>
      <c r="FW53" s="930"/>
      <c r="FX53" s="930"/>
      <c r="FY53" s="930"/>
      <c r="FZ53" s="930"/>
      <c r="GA53" s="930"/>
      <c r="GB53" s="930"/>
      <c r="GC53" s="930"/>
      <c r="GD53" s="930"/>
      <c r="GE53" s="930"/>
      <c r="GF53" s="930"/>
      <c r="GG53" s="930"/>
      <c r="GH53" s="930"/>
      <c r="GI53" s="930"/>
      <c r="GJ53" s="930"/>
      <c r="GK53" s="930"/>
      <c r="GL53" s="930"/>
      <c r="GM53" s="930"/>
      <c r="GN53" s="930"/>
      <c r="GO53" s="930"/>
      <c r="GP53" s="930"/>
      <c r="GQ53" s="930"/>
      <c r="GR53" s="930"/>
      <c r="GS53" s="930"/>
      <c r="GT53" s="930"/>
      <c r="GU53" s="930"/>
      <c r="GV53" s="930"/>
      <c r="GW53" s="930"/>
      <c r="GX53" s="930"/>
      <c r="GY53" s="930"/>
      <c r="GZ53" s="930"/>
      <c r="HA53" s="930"/>
      <c r="HB53" s="930"/>
      <c r="HC53" s="930"/>
      <c r="HD53" s="930"/>
      <c r="HE53" s="930"/>
      <c r="HF53" s="930"/>
      <c r="HG53" s="930"/>
      <c r="HH53" s="930"/>
      <c r="HI53" s="930"/>
      <c r="HJ53" s="930"/>
      <c r="HK53" s="930"/>
      <c r="HL53" s="930"/>
      <c r="HM53" s="930"/>
      <c r="HN53" s="930"/>
      <c r="HO53" s="930"/>
      <c r="HP53" s="930"/>
      <c r="HQ53" s="930"/>
      <c r="HR53" s="930"/>
      <c r="HS53" s="930"/>
      <c r="HT53" s="930"/>
      <c r="HU53" s="930"/>
      <c r="HV53" s="930"/>
      <c r="HW53" s="930"/>
      <c r="HX53" s="930"/>
      <c r="HY53" s="930"/>
      <c r="HZ53" s="930"/>
      <c r="IA53" s="930"/>
      <c r="IB53" s="930"/>
      <c r="IC53" s="930"/>
      <c r="ID53" s="930"/>
      <c r="IE53" s="930"/>
      <c r="IF53" s="930"/>
      <c r="IG53" s="930"/>
      <c r="IH53" s="930"/>
      <c r="II53" s="930"/>
      <c r="IJ53" s="930"/>
      <c r="IK53" s="930"/>
      <c r="IL53" s="930"/>
      <c r="IM53" s="930"/>
      <c r="IN53" s="930"/>
      <c r="IO53" s="930"/>
      <c r="IP53" s="930"/>
      <c r="IQ53" s="930"/>
      <c r="IR53" s="930"/>
      <c r="IS53" s="930"/>
      <c r="IT53" s="930"/>
      <c r="IU53" s="930"/>
      <c r="IV53" s="930"/>
    </row>
    <row r="54" spans="1:256">
      <c r="A54" s="935">
        <f t="shared" si="9"/>
        <v>33</v>
      </c>
      <c r="B54" s="931" t="s">
        <v>366</v>
      </c>
      <c r="C54" s="1128">
        <f t="shared" si="10"/>
        <v>0</v>
      </c>
      <c r="D54" s="1128">
        <f t="shared" si="11"/>
        <v>0</v>
      </c>
      <c r="E54" s="931">
        <v>30</v>
      </c>
      <c r="F54" s="869">
        <v>93</v>
      </c>
      <c r="G54" s="1129">
        <f t="shared" si="6"/>
        <v>0.25479452054794521</v>
      </c>
      <c r="H54" s="1128">
        <f t="shared" si="7"/>
        <v>0</v>
      </c>
      <c r="I54" s="1128">
        <f t="shared" si="8"/>
        <v>0</v>
      </c>
      <c r="J54" s="930"/>
      <c r="K54" s="930"/>
      <c r="L54" s="930"/>
      <c r="M54" s="930"/>
      <c r="N54" s="930"/>
      <c r="O54" s="930"/>
      <c r="P54" s="930"/>
      <c r="Q54" s="930"/>
      <c r="R54" s="930"/>
      <c r="S54" s="930"/>
      <c r="T54" s="930"/>
      <c r="U54" s="930"/>
      <c r="V54" s="930"/>
      <c r="W54" s="930"/>
      <c r="X54" s="930"/>
      <c r="Y54" s="930"/>
      <c r="Z54" s="930"/>
      <c r="AA54" s="930"/>
      <c r="AB54" s="930"/>
      <c r="AC54" s="930"/>
      <c r="AD54" s="930"/>
      <c r="AE54" s="930"/>
      <c r="AF54" s="930"/>
      <c r="AG54" s="930"/>
      <c r="AH54" s="930"/>
      <c r="AI54" s="930"/>
      <c r="AJ54" s="930"/>
      <c r="AK54" s="930"/>
      <c r="AL54" s="930"/>
      <c r="AM54" s="930"/>
      <c r="AN54" s="930"/>
      <c r="AO54" s="930"/>
      <c r="AP54" s="930"/>
      <c r="AQ54" s="930"/>
      <c r="AR54" s="930"/>
      <c r="AS54" s="930"/>
      <c r="AT54" s="930"/>
      <c r="AU54" s="930"/>
      <c r="AV54" s="930"/>
      <c r="AW54" s="930"/>
      <c r="AX54" s="930"/>
      <c r="AY54" s="930"/>
      <c r="AZ54" s="930"/>
      <c r="BA54" s="930"/>
      <c r="BB54" s="930"/>
      <c r="BC54" s="930"/>
      <c r="BD54" s="930"/>
      <c r="BE54" s="930"/>
      <c r="BF54" s="930"/>
      <c r="BG54" s="930"/>
      <c r="BH54" s="930"/>
      <c r="BI54" s="930"/>
      <c r="BJ54" s="930"/>
      <c r="BK54" s="930"/>
      <c r="BL54" s="930"/>
      <c r="BM54" s="930"/>
      <c r="BN54" s="930"/>
      <c r="BO54" s="930"/>
      <c r="BP54" s="930"/>
      <c r="BQ54" s="930"/>
      <c r="BR54" s="930"/>
      <c r="BS54" s="930"/>
      <c r="BT54" s="930"/>
      <c r="BU54" s="930"/>
      <c r="BV54" s="930"/>
      <c r="BW54" s="930"/>
      <c r="BX54" s="930"/>
      <c r="BY54" s="930"/>
      <c r="BZ54" s="930"/>
      <c r="CA54" s="930"/>
      <c r="CB54" s="930"/>
      <c r="CC54" s="930"/>
      <c r="CD54" s="930"/>
      <c r="CE54" s="930"/>
      <c r="CF54" s="930"/>
      <c r="CG54" s="930"/>
      <c r="CH54" s="930"/>
      <c r="CI54" s="930"/>
      <c r="CJ54" s="930"/>
      <c r="CK54" s="930"/>
      <c r="CL54" s="930"/>
      <c r="CM54" s="930"/>
      <c r="CN54" s="930"/>
      <c r="CO54" s="930"/>
      <c r="CP54" s="930"/>
      <c r="CQ54" s="930"/>
      <c r="CR54" s="930"/>
      <c r="CS54" s="930"/>
      <c r="CT54" s="930"/>
      <c r="CU54" s="930"/>
      <c r="CV54" s="930"/>
      <c r="CW54" s="930"/>
      <c r="CX54" s="930"/>
      <c r="CY54" s="930"/>
      <c r="CZ54" s="930"/>
      <c r="DA54" s="930"/>
      <c r="DB54" s="930"/>
      <c r="DC54" s="930"/>
      <c r="DD54" s="930"/>
      <c r="DE54" s="930"/>
      <c r="DF54" s="930"/>
      <c r="DG54" s="930"/>
      <c r="DH54" s="930"/>
      <c r="DI54" s="930"/>
      <c r="DJ54" s="930"/>
      <c r="DK54" s="930"/>
      <c r="DL54" s="930"/>
      <c r="DM54" s="930"/>
      <c r="DN54" s="930"/>
      <c r="DO54" s="930"/>
      <c r="DP54" s="930"/>
      <c r="DQ54" s="930"/>
      <c r="DR54" s="930"/>
      <c r="DS54" s="930"/>
      <c r="DT54" s="930"/>
      <c r="DU54" s="930"/>
      <c r="DV54" s="930"/>
      <c r="DW54" s="930"/>
      <c r="DX54" s="930"/>
      <c r="DY54" s="930"/>
      <c r="DZ54" s="930"/>
      <c r="EA54" s="930"/>
      <c r="EB54" s="930"/>
      <c r="EC54" s="930"/>
      <c r="ED54" s="930"/>
      <c r="EE54" s="930"/>
      <c r="EF54" s="930"/>
      <c r="EG54" s="930"/>
      <c r="EH54" s="930"/>
      <c r="EI54" s="930"/>
      <c r="EJ54" s="930"/>
      <c r="EK54" s="930"/>
      <c r="EL54" s="930"/>
      <c r="EM54" s="930"/>
      <c r="EN54" s="930"/>
      <c r="EO54" s="930"/>
      <c r="EP54" s="930"/>
      <c r="EQ54" s="930"/>
      <c r="ER54" s="930"/>
      <c r="ES54" s="930"/>
      <c r="ET54" s="930"/>
      <c r="EU54" s="930"/>
      <c r="EV54" s="930"/>
      <c r="EW54" s="930"/>
      <c r="EX54" s="930"/>
      <c r="EY54" s="930"/>
      <c r="EZ54" s="930"/>
      <c r="FA54" s="930"/>
      <c r="FB54" s="930"/>
      <c r="FC54" s="930"/>
      <c r="FD54" s="930"/>
      <c r="FE54" s="930"/>
      <c r="FF54" s="930"/>
      <c r="FG54" s="930"/>
      <c r="FH54" s="930"/>
      <c r="FI54" s="930"/>
      <c r="FJ54" s="930"/>
      <c r="FK54" s="930"/>
      <c r="FL54" s="930"/>
      <c r="FM54" s="930"/>
      <c r="FN54" s="930"/>
      <c r="FO54" s="930"/>
      <c r="FP54" s="930"/>
      <c r="FQ54" s="930"/>
      <c r="FR54" s="930"/>
      <c r="FS54" s="930"/>
      <c r="FT54" s="930"/>
      <c r="FU54" s="930"/>
      <c r="FV54" s="930"/>
      <c r="FW54" s="930"/>
      <c r="FX54" s="930"/>
      <c r="FY54" s="930"/>
      <c r="FZ54" s="930"/>
      <c r="GA54" s="930"/>
      <c r="GB54" s="930"/>
      <c r="GC54" s="930"/>
      <c r="GD54" s="930"/>
      <c r="GE54" s="930"/>
      <c r="GF54" s="930"/>
      <c r="GG54" s="930"/>
      <c r="GH54" s="930"/>
      <c r="GI54" s="930"/>
      <c r="GJ54" s="930"/>
      <c r="GK54" s="930"/>
      <c r="GL54" s="930"/>
      <c r="GM54" s="930"/>
      <c r="GN54" s="930"/>
      <c r="GO54" s="930"/>
      <c r="GP54" s="930"/>
      <c r="GQ54" s="930"/>
      <c r="GR54" s="930"/>
      <c r="GS54" s="930"/>
      <c r="GT54" s="930"/>
      <c r="GU54" s="930"/>
      <c r="GV54" s="930"/>
      <c r="GW54" s="930"/>
      <c r="GX54" s="930"/>
      <c r="GY54" s="930"/>
      <c r="GZ54" s="930"/>
      <c r="HA54" s="930"/>
      <c r="HB54" s="930"/>
      <c r="HC54" s="930"/>
      <c r="HD54" s="930"/>
      <c r="HE54" s="930"/>
      <c r="HF54" s="930"/>
      <c r="HG54" s="930"/>
      <c r="HH54" s="930"/>
      <c r="HI54" s="930"/>
      <c r="HJ54" s="930"/>
      <c r="HK54" s="930"/>
      <c r="HL54" s="930"/>
      <c r="HM54" s="930"/>
      <c r="HN54" s="930"/>
      <c r="HO54" s="930"/>
      <c r="HP54" s="930"/>
      <c r="HQ54" s="930"/>
      <c r="HR54" s="930"/>
      <c r="HS54" s="930"/>
      <c r="HT54" s="930"/>
      <c r="HU54" s="930"/>
      <c r="HV54" s="930"/>
      <c r="HW54" s="930"/>
      <c r="HX54" s="930"/>
      <c r="HY54" s="930"/>
      <c r="HZ54" s="930"/>
      <c r="IA54" s="930"/>
      <c r="IB54" s="930"/>
      <c r="IC54" s="930"/>
      <c r="ID54" s="930"/>
      <c r="IE54" s="930"/>
      <c r="IF54" s="930"/>
      <c r="IG54" s="930"/>
      <c r="IH54" s="930"/>
      <c r="II54" s="930"/>
      <c r="IJ54" s="930"/>
      <c r="IK54" s="930"/>
      <c r="IL54" s="930"/>
      <c r="IM54" s="930"/>
      <c r="IN54" s="930"/>
      <c r="IO54" s="930"/>
      <c r="IP54" s="930"/>
      <c r="IQ54" s="930"/>
      <c r="IR54" s="930"/>
      <c r="IS54" s="930"/>
      <c r="IT54" s="930"/>
      <c r="IU54" s="930"/>
      <c r="IV54" s="930"/>
    </row>
    <row r="55" spans="1:256">
      <c r="A55" s="935">
        <f t="shared" si="9"/>
        <v>34</v>
      </c>
      <c r="B55" s="931" t="s">
        <v>569</v>
      </c>
      <c r="C55" s="1128">
        <f t="shared" si="10"/>
        <v>0</v>
      </c>
      <c r="D55" s="1128">
        <f t="shared" si="11"/>
        <v>0</v>
      </c>
      <c r="E55" s="931">
        <v>31</v>
      </c>
      <c r="F55" s="869">
        <v>62</v>
      </c>
      <c r="G55" s="1129">
        <f t="shared" si="6"/>
        <v>0.16986301369863013</v>
      </c>
      <c r="H55" s="1128">
        <f t="shared" si="7"/>
        <v>0</v>
      </c>
      <c r="I55" s="1128">
        <f t="shared" si="8"/>
        <v>0</v>
      </c>
      <c r="J55" s="930"/>
      <c r="K55" s="930"/>
      <c r="L55" s="930"/>
      <c r="M55" s="930"/>
      <c r="N55" s="930"/>
      <c r="O55" s="930"/>
      <c r="P55" s="930"/>
      <c r="Q55" s="930"/>
      <c r="R55" s="930"/>
      <c r="S55" s="930"/>
      <c r="T55" s="930"/>
      <c r="U55" s="930"/>
      <c r="V55" s="930"/>
      <c r="W55" s="930"/>
      <c r="X55" s="930"/>
      <c r="Y55" s="930"/>
      <c r="Z55" s="930"/>
      <c r="AA55" s="930"/>
      <c r="AB55" s="930"/>
      <c r="AC55" s="930"/>
      <c r="AD55" s="930"/>
      <c r="AE55" s="930"/>
      <c r="AF55" s="930"/>
      <c r="AG55" s="930"/>
      <c r="AH55" s="930"/>
      <c r="AI55" s="930"/>
      <c r="AJ55" s="930"/>
      <c r="AK55" s="930"/>
      <c r="AL55" s="930"/>
      <c r="AM55" s="930"/>
      <c r="AN55" s="930"/>
      <c r="AO55" s="930"/>
      <c r="AP55" s="930"/>
      <c r="AQ55" s="930"/>
      <c r="AR55" s="930"/>
      <c r="AS55" s="930"/>
      <c r="AT55" s="930"/>
      <c r="AU55" s="930"/>
      <c r="AV55" s="930"/>
      <c r="AW55" s="930"/>
      <c r="AX55" s="930"/>
      <c r="AY55" s="930"/>
      <c r="AZ55" s="930"/>
      <c r="BA55" s="930"/>
      <c r="BB55" s="930"/>
      <c r="BC55" s="930"/>
      <c r="BD55" s="930"/>
      <c r="BE55" s="930"/>
      <c r="BF55" s="930"/>
      <c r="BG55" s="930"/>
      <c r="BH55" s="930"/>
      <c r="BI55" s="930"/>
      <c r="BJ55" s="930"/>
      <c r="BK55" s="930"/>
      <c r="BL55" s="930"/>
      <c r="BM55" s="930"/>
      <c r="BN55" s="930"/>
      <c r="BO55" s="930"/>
      <c r="BP55" s="930"/>
      <c r="BQ55" s="930"/>
      <c r="BR55" s="930"/>
      <c r="BS55" s="930"/>
      <c r="BT55" s="930"/>
      <c r="BU55" s="930"/>
      <c r="BV55" s="930"/>
      <c r="BW55" s="930"/>
      <c r="BX55" s="930"/>
      <c r="BY55" s="930"/>
      <c r="BZ55" s="930"/>
      <c r="CA55" s="930"/>
      <c r="CB55" s="930"/>
      <c r="CC55" s="930"/>
      <c r="CD55" s="930"/>
      <c r="CE55" s="930"/>
      <c r="CF55" s="930"/>
      <c r="CG55" s="930"/>
      <c r="CH55" s="930"/>
      <c r="CI55" s="930"/>
      <c r="CJ55" s="930"/>
      <c r="CK55" s="930"/>
      <c r="CL55" s="930"/>
      <c r="CM55" s="930"/>
      <c r="CN55" s="930"/>
      <c r="CO55" s="930"/>
      <c r="CP55" s="930"/>
      <c r="CQ55" s="930"/>
      <c r="CR55" s="930"/>
      <c r="CS55" s="930"/>
      <c r="CT55" s="930"/>
      <c r="CU55" s="930"/>
      <c r="CV55" s="930"/>
      <c r="CW55" s="930"/>
      <c r="CX55" s="930"/>
      <c r="CY55" s="930"/>
      <c r="CZ55" s="930"/>
      <c r="DA55" s="930"/>
      <c r="DB55" s="930"/>
      <c r="DC55" s="930"/>
      <c r="DD55" s="930"/>
      <c r="DE55" s="930"/>
      <c r="DF55" s="930"/>
      <c r="DG55" s="930"/>
      <c r="DH55" s="930"/>
      <c r="DI55" s="930"/>
      <c r="DJ55" s="930"/>
      <c r="DK55" s="930"/>
      <c r="DL55" s="930"/>
      <c r="DM55" s="930"/>
      <c r="DN55" s="930"/>
      <c r="DO55" s="930"/>
      <c r="DP55" s="930"/>
      <c r="DQ55" s="930"/>
      <c r="DR55" s="930"/>
      <c r="DS55" s="930"/>
      <c r="DT55" s="930"/>
      <c r="DU55" s="930"/>
      <c r="DV55" s="930"/>
      <c r="DW55" s="930"/>
      <c r="DX55" s="930"/>
      <c r="DY55" s="930"/>
      <c r="DZ55" s="930"/>
      <c r="EA55" s="930"/>
      <c r="EB55" s="930"/>
      <c r="EC55" s="930"/>
      <c r="ED55" s="930"/>
      <c r="EE55" s="930"/>
      <c r="EF55" s="930"/>
      <c r="EG55" s="930"/>
      <c r="EH55" s="930"/>
      <c r="EI55" s="930"/>
      <c r="EJ55" s="930"/>
      <c r="EK55" s="930"/>
      <c r="EL55" s="930"/>
      <c r="EM55" s="930"/>
      <c r="EN55" s="930"/>
      <c r="EO55" s="930"/>
      <c r="EP55" s="930"/>
      <c r="EQ55" s="930"/>
      <c r="ER55" s="930"/>
      <c r="ES55" s="930"/>
      <c r="ET55" s="930"/>
      <c r="EU55" s="930"/>
      <c r="EV55" s="930"/>
      <c r="EW55" s="930"/>
      <c r="EX55" s="930"/>
      <c r="EY55" s="930"/>
      <c r="EZ55" s="930"/>
      <c r="FA55" s="930"/>
      <c r="FB55" s="930"/>
      <c r="FC55" s="930"/>
      <c r="FD55" s="930"/>
      <c r="FE55" s="930"/>
      <c r="FF55" s="930"/>
      <c r="FG55" s="930"/>
      <c r="FH55" s="930"/>
      <c r="FI55" s="930"/>
      <c r="FJ55" s="930"/>
      <c r="FK55" s="930"/>
      <c r="FL55" s="930"/>
      <c r="FM55" s="930"/>
      <c r="FN55" s="930"/>
      <c r="FO55" s="930"/>
      <c r="FP55" s="930"/>
      <c r="FQ55" s="930"/>
      <c r="FR55" s="930"/>
      <c r="FS55" s="930"/>
      <c r="FT55" s="930"/>
      <c r="FU55" s="930"/>
      <c r="FV55" s="930"/>
      <c r="FW55" s="930"/>
      <c r="FX55" s="930"/>
      <c r="FY55" s="930"/>
      <c r="FZ55" s="930"/>
      <c r="GA55" s="930"/>
      <c r="GB55" s="930"/>
      <c r="GC55" s="930"/>
      <c r="GD55" s="930"/>
      <c r="GE55" s="930"/>
      <c r="GF55" s="930"/>
      <c r="GG55" s="930"/>
      <c r="GH55" s="930"/>
      <c r="GI55" s="930"/>
      <c r="GJ55" s="930"/>
      <c r="GK55" s="930"/>
      <c r="GL55" s="930"/>
      <c r="GM55" s="930"/>
      <c r="GN55" s="930"/>
      <c r="GO55" s="930"/>
      <c r="GP55" s="930"/>
      <c r="GQ55" s="930"/>
      <c r="GR55" s="930"/>
      <c r="GS55" s="930"/>
      <c r="GT55" s="930"/>
      <c r="GU55" s="930"/>
      <c r="GV55" s="930"/>
      <c r="GW55" s="930"/>
      <c r="GX55" s="930"/>
      <c r="GY55" s="930"/>
      <c r="GZ55" s="930"/>
      <c r="HA55" s="930"/>
      <c r="HB55" s="930"/>
      <c r="HC55" s="930"/>
      <c r="HD55" s="930"/>
      <c r="HE55" s="930"/>
      <c r="HF55" s="930"/>
      <c r="HG55" s="930"/>
      <c r="HH55" s="930"/>
      <c r="HI55" s="930"/>
      <c r="HJ55" s="930"/>
      <c r="HK55" s="930"/>
      <c r="HL55" s="930"/>
      <c r="HM55" s="930"/>
      <c r="HN55" s="930"/>
      <c r="HO55" s="930"/>
      <c r="HP55" s="930"/>
      <c r="HQ55" s="930"/>
      <c r="HR55" s="930"/>
      <c r="HS55" s="930"/>
      <c r="HT55" s="930"/>
      <c r="HU55" s="930"/>
      <c r="HV55" s="930"/>
      <c r="HW55" s="930"/>
      <c r="HX55" s="930"/>
      <c r="HY55" s="930"/>
      <c r="HZ55" s="930"/>
      <c r="IA55" s="930"/>
      <c r="IB55" s="930"/>
      <c r="IC55" s="930"/>
      <c r="ID55" s="930"/>
      <c r="IE55" s="930"/>
      <c r="IF55" s="930"/>
      <c r="IG55" s="930"/>
      <c r="IH55" s="930"/>
      <c r="II55" s="930"/>
      <c r="IJ55" s="930"/>
      <c r="IK55" s="930"/>
      <c r="IL55" s="930"/>
      <c r="IM55" s="930"/>
      <c r="IN55" s="930"/>
      <c r="IO55" s="930"/>
      <c r="IP55" s="930"/>
      <c r="IQ55" s="930"/>
      <c r="IR55" s="930"/>
      <c r="IS55" s="930"/>
      <c r="IT55" s="930"/>
      <c r="IU55" s="930"/>
      <c r="IV55" s="930"/>
    </row>
    <row r="56" spans="1:256">
      <c r="A56" s="935">
        <f t="shared" si="9"/>
        <v>35</v>
      </c>
      <c r="B56" s="931" t="s">
        <v>570</v>
      </c>
      <c r="C56" s="1128">
        <f t="shared" si="10"/>
        <v>0</v>
      </c>
      <c r="D56" s="1128">
        <f t="shared" si="11"/>
        <v>0</v>
      </c>
      <c r="E56" s="931">
        <v>30</v>
      </c>
      <c r="F56" s="869">
        <v>32</v>
      </c>
      <c r="G56" s="1129">
        <f t="shared" si="6"/>
        <v>8.7671232876712329E-2</v>
      </c>
      <c r="H56" s="1128">
        <f t="shared" si="7"/>
        <v>0</v>
      </c>
      <c r="I56" s="1128">
        <f t="shared" si="8"/>
        <v>0</v>
      </c>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0"/>
      <c r="AY56" s="930"/>
      <c r="AZ56" s="930"/>
      <c r="BA56" s="930"/>
      <c r="BB56" s="930"/>
      <c r="BC56" s="930"/>
      <c r="BD56" s="930"/>
      <c r="BE56" s="930"/>
      <c r="BF56" s="930"/>
      <c r="BG56" s="930"/>
      <c r="BH56" s="930"/>
      <c r="BI56" s="930"/>
      <c r="BJ56" s="930"/>
      <c r="BK56" s="930"/>
      <c r="BL56" s="930"/>
      <c r="BM56" s="930"/>
      <c r="BN56" s="930"/>
      <c r="BO56" s="930"/>
      <c r="BP56" s="930"/>
      <c r="BQ56" s="930"/>
      <c r="BR56" s="930"/>
      <c r="BS56" s="930"/>
      <c r="BT56" s="930"/>
      <c r="BU56" s="930"/>
      <c r="BV56" s="930"/>
      <c r="BW56" s="930"/>
      <c r="BX56" s="930"/>
      <c r="BY56" s="930"/>
      <c r="BZ56" s="930"/>
      <c r="CA56" s="930"/>
      <c r="CB56" s="930"/>
      <c r="CC56" s="930"/>
      <c r="CD56" s="930"/>
      <c r="CE56" s="930"/>
      <c r="CF56" s="930"/>
      <c r="CG56" s="930"/>
      <c r="CH56" s="930"/>
      <c r="CI56" s="930"/>
      <c r="CJ56" s="930"/>
      <c r="CK56" s="930"/>
      <c r="CL56" s="930"/>
      <c r="CM56" s="930"/>
      <c r="CN56" s="930"/>
      <c r="CO56" s="930"/>
      <c r="CP56" s="930"/>
      <c r="CQ56" s="930"/>
      <c r="CR56" s="930"/>
      <c r="CS56" s="930"/>
      <c r="CT56" s="930"/>
      <c r="CU56" s="930"/>
      <c r="CV56" s="930"/>
      <c r="CW56" s="930"/>
      <c r="CX56" s="930"/>
      <c r="CY56" s="930"/>
      <c r="CZ56" s="930"/>
      <c r="DA56" s="930"/>
      <c r="DB56" s="930"/>
      <c r="DC56" s="930"/>
      <c r="DD56" s="930"/>
      <c r="DE56" s="930"/>
      <c r="DF56" s="930"/>
      <c r="DG56" s="930"/>
      <c r="DH56" s="930"/>
      <c r="DI56" s="930"/>
      <c r="DJ56" s="930"/>
      <c r="DK56" s="930"/>
      <c r="DL56" s="930"/>
      <c r="DM56" s="930"/>
      <c r="DN56" s="930"/>
      <c r="DO56" s="930"/>
      <c r="DP56" s="930"/>
      <c r="DQ56" s="930"/>
      <c r="DR56" s="930"/>
      <c r="DS56" s="930"/>
      <c r="DT56" s="930"/>
      <c r="DU56" s="930"/>
      <c r="DV56" s="930"/>
      <c r="DW56" s="930"/>
      <c r="DX56" s="930"/>
      <c r="DY56" s="930"/>
      <c r="DZ56" s="930"/>
      <c r="EA56" s="930"/>
      <c r="EB56" s="930"/>
      <c r="EC56" s="930"/>
      <c r="ED56" s="930"/>
      <c r="EE56" s="930"/>
      <c r="EF56" s="930"/>
      <c r="EG56" s="930"/>
      <c r="EH56" s="930"/>
      <c r="EI56" s="930"/>
      <c r="EJ56" s="930"/>
      <c r="EK56" s="930"/>
      <c r="EL56" s="930"/>
      <c r="EM56" s="930"/>
      <c r="EN56" s="930"/>
      <c r="EO56" s="930"/>
      <c r="EP56" s="930"/>
      <c r="EQ56" s="930"/>
      <c r="ER56" s="930"/>
      <c r="ES56" s="930"/>
      <c r="ET56" s="930"/>
      <c r="EU56" s="930"/>
      <c r="EV56" s="930"/>
      <c r="EW56" s="930"/>
      <c r="EX56" s="930"/>
      <c r="EY56" s="930"/>
      <c r="EZ56" s="930"/>
      <c r="FA56" s="930"/>
      <c r="FB56" s="930"/>
      <c r="FC56" s="930"/>
      <c r="FD56" s="930"/>
      <c r="FE56" s="930"/>
      <c r="FF56" s="930"/>
      <c r="FG56" s="930"/>
      <c r="FH56" s="930"/>
      <c r="FI56" s="930"/>
      <c r="FJ56" s="930"/>
      <c r="FK56" s="930"/>
      <c r="FL56" s="930"/>
      <c r="FM56" s="930"/>
      <c r="FN56" s="930"/>
      <c r="FO56" s="930"/>
      <c r="FP56" s="930"/>
      <c r="FQ56" s="930"/>
      <c r="FR56" s="930"/>
      <c r="FS56" s="930"/>
      <c r="FT56" s="930"/>
      <c r="FU56" s="930"/>
      <c r="FV56" s="930"/>
      <c r="FW56" s="930"/>
      <c r="FX56" s="930"/>
      <c r="FY56" s="930"/>
      <c r="FZ56" s="930"/>
      <c r="GA56" s="930"/>
      <c r="GB56" s="930"/>
      <c r="GC56" s="930"/>
      <c r="GD56" s="930"/>
      <c r="GE56" s="930"/>
      <c r="GF56" s="930"/>
      <c r="GG56" s="930"/>
      <c r="GH56" s="930"/>
      <c r="GI56" s="930"/>
      <c r="GJ56" s="930"/>
      <c r="GK56" s="930"/>
      <c r="GL56" s="930"/>
      <c r="GM56" s="930"/>
      <c r="GN56" s="930"/>
      <c r="GO56" s="930"/>
      <c r="GP56" s="930"/>
      <c r="GQ56" s="930"/>
      <c r="GR56" s="930"/>
      <c r="GS56" s="930"/>
      <c r="GT56" s="930"/>
      <c r="GU56" s="930"/>
      <c r="GV56" s="930"/>
      <c r="GW56" s="930"/>
      <c r="GX56" s="930"/>
      <c r="GY56" s="930"/>
      <c r="GZ56" s="930"/>
      <c r="HA56" s="930"/>
      <c r="HB56" s="930"/>
      <c r="HC56" s="930"/>
      <c r="HD56" s="930"/>
      <c r="HE56" s="930"/>
      <c r="HF56" s="930"/>
      <c r="HG56" s="930"/>
      <c r="HH56" s="930"/>
      <c r="HI56" s="930"/>
      <c r="HJ56" s="930"/>
      <c r="HK56" s="930"/>
      <c r="HL56" s="930"/>
      <c r="HM56" s="930"/>
      <c r="HN56" s="930"/>
      <c r="HO56" s="930"/>
      <c r="HP56" s="930"/>
      <c r="HQ56" s="930"/>
      <c r="HR56" s="930"/>
      <c r="HS56" s="930"/>
      <c r="HT56" s="930"/>
      <c r="HU56" s="930"/>
      <c r="HV56" s="930"/>
      <c r="HW56" s="930"/>
      <c r="HX56" s="930"/>
      <c r="HY56" s="930"/>
      <c r="HZ56" s="930"/>
      <c r="IA56" s="930"/>
      <c r="IB56" s="930"/>
      <c r="IC56" s="930"/>
      <c r="ID56" s="930"/>
      <c r="IE56" s="930"/>
      <c r="IF56" s="930"/>
      <c r="IG56" s="930"/>
      <c r="IH56" s="930"/>
      <c r="II56" s="930"/>
      <c r="IJ56" s="930"/>
      <c r="IK56" s="930"/>
      <c r="IL56" s="930"/>
      <c r="IM56" s="930"/>
      <c r="IN56" s="930"/>
      <c r="IO56" s="930"/>
      <c r="IP56" s="930"/>
      <c r="IQ56" s="930"/>
      <c r="IR56" s="930"/>
      <c r="IS56" s="930"/>
      <c r="IT56" s="930"/>
      <c r="IU56" s="930"/>
      <c r="IV56" s="930"/>
    </row>
    <row r="57" spans="1:256">
      <c r="A57" s="935">
        <f t="shared" si="9"/>
        <v>36</v>
      </c>
      <c r="B57" s="931" t="s">
        <v>365</v>
      </c>
      <c r="C57" s="1128">
        <f t="shared" si="10"/>
        <v>0</v>
      </c>
      <c r="D57" s="1128">
        <f t="shared" si="11"/>
        <v>0</v>
      </c>
      <c r="E57" s="931">
        <v>31</v>
      </c>
      <c r="F57" s="869">
        <f>F56-E57</f>
        <v>1</v>
      </c>
      <c r="G57" s="1129">
        <f t="shared" si="6"/>
        <v>2.7397260273972603E-3</v>
      </c>
      <c r="H57" s="1128">
        <f t="shared" si="7"/>
        <v>0</v>
      </c>
      <c r="I57" s="1128">
        <f t="shared" si="8"/>
        <v>0</v>
      </c>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0"/>
      <c r="AY57" s="930"/>
      <c r="AZ57" s="930"/>
      <c r="BA57" s="930"/>
      <c r="BB57" s="930"/>
      <c r="BC57" s="930"/>
      <c r="BD57" s="930"/>
      <c r="BE57" s="930"/>
      <c r="BF57" s="930"/>
      <c r="BG57" s="930"/>
      <c r="BH57" s="930"/>
      <c r="BI57" s="930"/>
      <c r="BJ57" s="930"/>
      <c r="BK57" s="930"/>
      <c r="BL57" s="930"/>
      <c r="BM57" s="930"/>
      <c r="BN57" s="930"/>
      <c r="BO57" s="930"/>
      <c r="BP57" s="930"/>
      <c r="BQ57" s="930"/>
      <c r="BR57" s="930"/>
      <c r="BS57" s="930"/>
      <c r="BT57" s="930"/>
      <c r="BU57" s="930"/>
      <c r="BV57" s="930"/>
      <c r="BW57" s="930"/>
      <c r="BX57" s="930"/>
      <c r="BY57" s="930"/>
      <c r="BZ57" s="930"/>
      <c r="CA57" s="930"/>
      <c r="CB57" s="930"/>
      <c r="CC57" s="930"/>
      <c r="CD57" s="930"/>
      <c r="CE57" s="930"/>
      <c r="CF57" s="930"/>
      <c r="CG57" s="930"/>
      <c r="CH57" s="930"/>
      <c r="CI57" s="930"/>
      <c r="CJ57" s="930"/>
      <c r="CK57" s="930"/>
      <c r="CL57" s="930"/>
      <c r="CM57" s="930"/>
      <c r="CN57" s="930"/>
      <c r="CO57" s="930"/>
      <c r="CP57" s="930"/>
      <c r="CQ57" s="930"/>
      <c r="CR57" s="930"/>
      <c r="CS57" s="930"/>
      <c r="CT57" s="930"/>
      <c r="CU57" s="930"/>
      <c r="CV57" s="930"/>
      <c r="CW57" s="930"/>
      <c r="CX57" s="930"/>
      <c r="CY57" s="930"/>
      <c r="CZ57" s="930"/>
      <c r="DA57" s="930"/>
      <c r="DB57" s="930"/>
      <c r="DC57" s="930"/>
      <c r="DD57" s="930"/>
      <c r="DE57" s="930"/>
      <c r="DF57" s="930"/>
      <c r="DG57" s="930"/>
      <c r="DH57" s="930"/>
      <c r="DI57" s="930"/>
      <c r="DJ57" s="930"/>
      <c r="DK57" s="930"/>
      <c r="DL57" s="930"/>
      <c r="DM57" s="930"/>
      <c r="DN57" s="930"/>
      <c r="DO57" s="930"/>
      <c r="DP57" s="930"/>
      <c r="DQ57" s="930"/>
      <c r="DR57" s="930"/>
      <c r="DS57" s="930"/>
      <c r="DT57" s="930"/>
      <c r="DU57" s="930"/>
      <c r="DV57" s="930"/>
      <c r="DW57" s="930"/>
      <c r="DX57" s="930"/>
      <c r="DY57" s="930"/>
      <c r="DZ57" s="930"/>
      <c r="EA57" s="930"/>
      <c r="EB57" s="930"/>
      <c r="EC57" s="930"/>
      <c r="ED57" s="930"/>
      <c r="EE57" s="930"/>
      <c r="EF57" s="930"/>
      <c r="EG57" s="930"/>
      <c r="EH57" s="930"/>
      <c r="EI57" s="930"/>
      <c r="EJ57" s="930"/>
      <c r="EK57" s="930"/>
      <c r="EL57" s="930"/>
      <c r="EM57" s="930"/>
      <c r="EN57" s="930"/>
      <c r="EO57" s="930"/>
      <c r="EP57" s="930"/>
      <c r="EQ57" s="930"/>
      <c r="ER57" s="930"/>
      <c r="ES57" s="930"/>
      <c r="ET57" s="930"/>
      <c r="EU57" s="930"/>
      <c r="EV57" s="930"/>
      <c r="EW57" s="930"/>
      <c r="EX57" s="930"/>
      <c r="EY57" s="930"/>
      <c r="EZ57" s="930"/>
      <c r="FA57" s="930"/>
      <c r="FB57" s="930"/>
      <c r="FC57" s="930"/>
      <c r="FD57" s="930"/>
      <c r="FE57" s="930"/>
      <c r="FF57" s="930"/>
      <c r="FG57" s="930"/>
      <c r="FH57" s="930"/>
      <c r="FI57" s="930"/>
      <c r="FJ57" s="930"/>
      <c r="FK57" s="930"/>
      <c r="FL57" s="930"/>
      <c r="FM57" s="930"/>
      <c r="FN57" s="930"/>
      <c r="FO57" s="930"/>
      <c r="FP57" s="930"/>
      <c r="FQ57" s="930"/>
      <c r="FR57" s="930"/>
      <c r="FS57" s="930"/>
      <c r="FT57" s="930"/>
      <c r="FU57" s="930"/>
      <c r="FV57" s="930"/>
      <c r="FW57" s="930"/>
      <c r="FX57" s="930"/>
      <c r="FY57" s="930"/>
      <c r="FZ57" s="930"/>
      <c r="GA57" s="930"/>
      <c r="GB57" s="930"/>
      <c r="GC57" s="930"/>
      <c r="GD57" s="930"/>
      <c r="GE57" s="930"/>
      <c r="GF57" s="930"/>
      <c r="GG57" s="930"/>
      <c r="GH57" s="930"/>
      <c r="GI57" s="930"/>
      <c r="GJ57" s="930"/>
      <c r="GK57" s="930"/>
      <c r="GL57" s="930"/>
      <c r="GM57" s="930"/>
      <c r="GN57" s="930"/>
      <c r="GO57" s="930"/>
      <c r="GP57" s="930"/>
      <c r="GQ57" s="930"/>
      <c r="GR57" s="930"/>
      <c r="GS57" s="930"/>
      <c r="GT57" s="930"/>
      <c r="GU57" s="930"/>
      <c r="GV57" s="930"/>
      <c r="GW57" s="930"/>
      <c r="GX57" s="930"/>
      <c r="GY57" s="930"/>
      <c r="GZ57" s="930"/>
      <c r="HA57" s="930"/>
      <c r="HB57" s="930"/>
      <c r="HC57" s="930"/>
      <c r="HD57" s="930"/>
      <c r="HE57" s="930"/>
      <c r="HF57" s="930"/>
      <c r="HG57" s="930"/>
      <c r="HH57" s="930"/>
      <c r="HI57" s="930"/>
      <c r="HJ57" s="930"/>
      <c r="HK57" s="930"/>
      <c r="HL57" s="930"/>
      <c r="HM57" s="930"/>
      <c r="HN57" s="930"/>
      <c r="HO57" s="930"/>
      <c r="HP57" s="930"/>
      <c r="HQ57" s="930"/>
      <c r="HR57" s="930"/>
      <c r="HS57" s="930"/>
      <c r="HT57" s="930"/>
      <c r="HU57" s="930"/>
      <c r="HV57" s="930"/>
      <c r="HW57" s="930"/>
      <c r="HX57" s="930"/>
      <c r="HY57" s="930"/>
      <c r="HZ57" s="930"/>
      <c r="IA57" s="930"/>
      <c r="IB57" s="930"/>
      <c r="IC57" s="930"/>
      <c r="ID57" s="930"/>
      <c r="IE57" s="930"/>
      <c r="IF57" s="930"/>
      <c r="IG57" s="930"/>
      <c r="IH57" s="930"/>
      <c r="II57" s="930"/>
      <c r="IJ57" s="930"/>
      <c r="IK57" s="930"/>
      <c r="IL57" s="930"/>
      <c r="IM57" s="930"/>
      <c r="IN57" s="930"/>
      <c r="IO57" s="930"/>
      <c r="IP57" s="930"/>
      <c r="IQ57" s="930"/>
      <c r="IR57" s="930"/>
      <c r="IS57" s="930"/>
      <c r="IT57" s="930"/>
      <c r="IU57" s="930"/>
      <c r="IV57" s="930"/>
    </row>
    <row r="58" spans="1:256">
      <c r="A58" s="935"/>
      <c r="B58" s="931"/>
      <c r="C58" s="1130"/>
      <c r="D58" s="1130"/>
      <c r="E58" s="931"/>
      <c r="F58" s="931"/>
      <c r="G58" s="931"/>
      <c r="H58" s="1130"/>
      <c r="I58" s="1130"/>
      <c r="J58" s="930"/>
      <c r="K58" s="930"/>
      <c r="L58" s="930"/>
      <c r="M58" s="930"/>
      <c r="N58" s="930"/>
      <c r="O58" s="930"/>
      <c r="P58" s="930"/>
      <c r="Q58" s="930"/>
      <c r="R58" s="930"/>
      <c r="S58" s="930"/>
      <c r="T58" s="930"/>
      <c r="U58" s="930"/>
      <c r="V58" s="930"/>
      <c r="W58" s="930"/>
      <c r="X58" s="930"/>
      <c r="Y58" s="930"/>
      <c r="Z58" s="930"/>
      <c r="AA58" s="930"/>
      <c r="AB58" s="930"/>
      <c r="AC58" s="930"/>
      <c r="AD58" s="930"/>
      <c r="AE58" s="930"/>
      <c r="AF58" s="930"/>
      <c r="AG58" s="930"/>
      <c r="AH58" s="930"/>
      <c r="AI58" s="930"/>
      <c r="AJ58" s="930"/>
      <c r="AK58" s="930"/>
      <c r="AL58" s="930"/>
      <c r="AM58" s="930"/>
      <c r="AN58" s="930"/>
      <c r="AO58" s="930"/>
      <c r="AP58" s="930"/>
      <c r="AQ58" s="930"/>
      <c r="AR58" s="930"/>
      <c r="AS58" s="930"/>
      <c r="AT58" s="930"/>
      <c r="AU58" s="930"/>
      <c r="AV58" s="930"/>
      <c r="AW58" s="930"/>
      <c r="AX58" s="930"/>
      <c r="AY58" s="930"/>
      <c r="AZ58" s="930"/>
      <c r="BA58" s="930"/>
      <c r="BB58" s="930"/>
      <c r="BC58" s="930"/>
      <c r="BD58" s="930"/>
      <c r="BE58" s="930"/>
      <c r="BF58" s="930"/>
      <c r="BG58" s="930"/>
      <c r="BH58" s="930"/>
      <c r="BI58" s="930"/>
      <c r="BJ58" s="930"/>
      <c r="BK58" s="930"/>
      <c r="BL58" s="930"/>
      <c r="BM58" s="930"/>
      <c r="BN58" s="930"/>
      <c r="BO58" s="930"/>
      <c r="BP58" s="930"/>
      <c r="BQ58" s="930"/>
      <c r="BR58" s="930"/>
      <c r="BS58" s="930"/>
      <c r="BT58" s="930"/>
      <c r="BU58" s="930"/>
      <c r="BV58" s="930"/>
      <c r="BW58" s="930"/>
      <c r="BX58" s="930"/>
      <c r="BY58" s="930"/>
      <c r="BZ58" s="930"/>
      <c r="CA58" s="930"/>
      <c r="CB58" s="930"/>
      <c r="CC58" s="930"/>
      <c r="CD58" s="930"/>
      <c r="CE58" s="930"/>
      <c r="CF58" s="930"/>
      <c r="CG58" s="930"/>
      <c r="CH58" s="930"/>
      <c r="CI58" s="930"/>
      <c r="CJ58" s="930"/>
      <c r="CK58" s="930"/>
      <c r="CL58" s="930"/>
      <c r="CM58" s="930"/>
      <c r="CN58" s="930"/>
      <c r="CO58" s="930"/>
      <c r="CP58" s="930"/>
      <c r="CQ58" s="930"/>
      <c r="CR58" s="930"/>
      <c r="CS58" s="930"/>
      <c r="CT58" s="930"/>
      <c r="CU58" s="930"/>
      <c r="CV58" s="930"/>
      <c r="CW58" s="930"/>
      <c r="CX58" s="930"/>
      <c r="CY58" s="930"/>
      <c r="CZ58" s="930"/>
      <c r="DA58" s="930"/>
      <c r="DB58" s="930"/>
      <c r="DC58" s="930"/>
      <c r="DD58" s="930"/>
      <c r="DE58" s="930"/>
      <c r="DF58" s="930"/>
      <c r="DG58" s="930"/>
      <c r="DH58" s="930"/>
      <c r="DI58" s="930"/>
      <c r="DJ58" s="930"/>
      <c r="DK58" s="930"/>
      <c r="DL58" s="930"/>
      <c r="DM58" s="930"/>
      <c r="DN58" s="930"/>
      <c r="DO58" s="930"/>
      <c r="DP58" s="930"/>
      <c r="DQ58" s="930"/>
      <c r="DR58" s="930"/>
      <c r="DS58" s="930"/>
      <c r="DT58" s="930"/>
      <c r="DU58" s="930"/>
      <c r="DV58" s="930"/>
      <c r="DW58" s="930"/>
      <c r="DX58" s="930"/>
      <c r="DY58" s="930"/>
      <c r="DZ58" s="930"/>
      <c r="EA58" s="930"/>
      <c r="EB58" s="930"/>
      <c r="EC58" s="930"/>
      <c r="ED58" s="930"/>
      <c r="EE58" s="930"/>
      <c r="EF58" s="930"/>
      <c r="EG58" s="930"/>
      <c r="EH58" s="930"/>
      <c r="EI58" s="930"/>
      <c r="EJ58" s="930"/>
      <c r="EK58" s="930"/>
      <c r="EL58" s="930"/>
      <c r="EM58" s="930"/>
      <c r="EN58" s="930"/>
      <c r="EO58" s="930"/>
      <c r="EP58" s="930"/>
      <c r="EQ58" s="930"/>
      <c r="ER58" s="930"/>
      <c r="ES58" s="930"/>
      <c r="ET58" s="930"/>
      <c r="EU58" s="930"/>
      <c r="EV58" s="930"/>
      <c r="EW58" s="930"/>
      <c r="EX58" s="930"/>
      <c r="EY58" s="930"/>
      <c r="EZ58" s="930"/>
      <c r="FA58" s="930"/>
      <c r="FB58" s="930"/>
      <c r="FC58" s="930"/>
      <c r="FD58" s="930"/>
      <c r="FE58" s="930"/>
      <c r="FF58" s="930"/>
      <c r="FG58" s="930"/>
      <c r="FH58" s="930"/>
      <c r="FI58" s="930"/>
      <c r="FJ58" s="930"/>
      <c r="FK58" s="930"/>
      <c r="FL58" s="930"/>
      <c r="FM58" s="930"/>
      <c r="FN58" s="930"/>
      <c r="FO58" s="930"/>
      <c r="FP58" s="930"/>
      <c r="FQ58" s="930"/>
      <c r="FR58" s="930"/>
      <c r="FS58" s="930"/>
      <c r="FT58" s="930"/>
      <c r="FU58" s="930"/>
      <c r="FV58" s="930"/>
      <c r="FW58" s="930"/>
      <c r="FX58" s="930"/>
      <c r="FY58" s="930"/>
      <c r="FZ58" s="930"/>
      <c r="GA58" s="930"/>
      <c r="GB58" s="930"/>
      <c r="GC58" s="930"/>
      <c r="GD58" s="930"/>
      <c r="GE58" s="930"/>
      <c r="GF58" s="930"/>
      <c r="GG58" s="930"/>
      <c r="GH58" s="930"/>
      <c r="GI58" s="930"/>
      <c r="GJ58" s="930"/>
      <c r="GK58" s="930"/>
      <c r="GL58" s="930"/>
      <c r="GM58" s="930"/>
      <c r="GN58" s="930"/>
      <c r="GO58" s="930"/>
      <c r="GP58" s="930"/>
      <c r="GQ58" s="930"/>
      <c r="GR58" s="930"/>
      <c r="GS58" s="930"/>
      <c r="GT58" s="930"/>
      <c r="GU58" s="930"/>
      <c r="GV58" s="930"/>
      <c r="GW58" s="930"/>
      <c r="GX58" s="930"/>
      <c r="GY58" s="930"/>
      <c r="GZ58" s="930"/>
      <c r="HA58" s="930"/>
      <c r="HB58" s="930"/>
      <c r="HC58" s="930"/>
      <c r="HD58" s="930"/>
      <c r="HE58" s="930"/>
      <c r="HF58" s="930"/>
      <c r="HG58" s="930"/>
      <c r="HH58" s="930"/>
      <c r="HI58" s="930"/>
      <c r="HJ58" s="930"/>
      <c r="HK58" s="930"/>
      <c r="HL58" s="930"/>
      <c r="HM58" s="930"/>
      <c r="HN58" s="930"/>
      <c r="HO58" s="930"/>
      <c r="HP58" s="930"/>
      <c r="HQ58" s="930"/>
      <c r="HR58" s="930"/>
      <c r="HS58" s="930"/>
      <c r="HT58" s="930"/>
      <c r="HU58" s="930"/>
      <c r="HV58" s="930"/>
      <c r="HW58" s="930"/>
      <c r="HX58" s="930"/>
      <c r="HY58" s="930"/>
      <c r="HZ58" s="930"/>
      <c r="IA58" s="930"/>
      <c r="IB58" s="930"/>
      <c r="IC58" s="930"/>
      <c r="ID58" s="930"/>
      <c r="IE58" s="930"/>
      <c r="IF58" s="930"/>
      <c r="IG58" s="930"/>
      <c r="IH58" s="930"/>
      <c r="II58" s="930"/>
      <c r="IJ58" s="930"/>
      <c r="IK58" s="930"/>
      <c r="IL58" s="930"/>
      <c r="IM58" s="930"/>
      <c r="IN58" s="930"/>
      <c r="IO58" s="930"/>
      <c r="IP58" s="930"/>
      <c r="IQ58" s="930"/>
      <c r="IR58" s="930"/>
      <c r="IS58" s="930"/>
      <c r="IT58" s="930"/>
      <c r="IU58" s="930"/>
      <c r="IV58" s="930"/>
    </row>
    <row r="59" spans="1:256">
      <c r="A59" s="935">
        <f>+A57+1</f>
        <v>37</v>
      </c>
      <c r="B59" s="931" t="s">
        <v>571</v>
      </c>
      <c r="C59" s="1130"/>
      <c r="D59" s="1128">
        <f>+D57</f>
        <v>0</v>
      </c>
      <c r="E59" s="931"/>
      <c r="F59" s="931"/>
      <c r="G59" s="931"/>
      <c r="H59" s="1130"/>
      <c r="I59" s="1128">
        <f>+I57</f>
        <v>0</v>
      </c>
      <c r="J59" s="930"/>
      <c r="K59" s="930"/>
      <c r="L59" s="930"/>
      <c r="M59" s="930"/>
      <c r="N59" s="930"/>
      <c r="O59" s="930"/>
      <c r="P59" s="930"/>
      <c r="Q59" s="930"/>
      <c r="R59" s="930"/>
      <c r="S59" s="930"/>
      <c r="T59" s="930"/>
      <c r="U59" s="930"/>
      <c r="V59" s="930"/>
      <c r="W59" s="930"/>
      <c r="X59" s="930"/>
      <c r="Y59" s="930"/>
      <c r="Z59" s="930"/>
      <c r="AA59" s="930"/>
      <c r="AB59" s="930"/>
      <c r="AC59" s="930"/>
      <c r="AD59" s="930"/>
      <c r="AE59" s="930"/>
      <c r="AF59" s="930"/>
      <c r="AG59" s="930"/>
      <c r="AH59" s="930"/>
      <c r="AI59" s="930"/>
      <c r="AJ59" s="930"/>
      <c r="AK59" s="930"/>
      <c r="AL59" s="930"/>
      <c r="AM59" s="930"/>
      <c r="AN59" s="930"/>
      <c r="AO59" s="930"/>
      <c r="AP59" s="930"/>
      <c r="AQ59" s="930"/>
      <c r="AR59" s="930"/>
      <c r="AS59" s="930"/>
      <c r="AT59" s="930"/>
      <c r="AU59" s="930"/>
      <c r="AV59" s="930"/>
      <c r="AW59" s="930"/>
      <c r="AX59" s="930"/>
      <c r="AY59" s="930"/>
      <c r="AZ59" s="930"/>
      <c r="BA59" s="930"/>
      <c r="BB59" s="930"/>
      <c r="BC59" s="930"/>
      <c r="BD59" s="930"/>
      <c r="BE59" s="930"/>
      <c r="BF59" s="930"/>
      <c r="BG59" s="930"/>
      <c r="BH59" s="930"/>
      <c r="BI59" s="930"/>
      <c r="BJ59" s="930"/>
      <c r="BK59" s="930"/>
      <c r="BL59" s="930"/>
      <c r="BM59" s="930"/>
      <c r="BN59" s="930"/>
      <c r="BO59" s="930"/>
      <c r="BP59" s="930"/>
      <c r="BQ59" s="930"/>
      <c r="BR59" s="930"/>
      <c r="BS59" s="930"/>
      <c r="BT59" s="930"/>
      <c r="BU59" s="930"/>
      <c r="BV59" s="930"/>
      <c r="BW59" s="930"/>
      <c r="BX59" s="930"/>
      <c r="BY59" s="930"/>
      <c r="BZ59" s="930"/>
      <c r="CA59" s="930"/>
      <c r="CB59" s="930"/>
      <c r="CC59" s="930"/>
      <c r="CD59" s="930"/>
      <c r="CE59" s="930"/>
      <c r="CF59" s="930"/>
      <c r="CG59" s="930"/>
      <c r="CH59" s="930"/>
      <c r="CI59" s="930"/>
      <c r="CJ59" s="930"/>
      <c r="CK59" s="930"/>
      <c r="CL59" s="930"/>
      <c r="CM59" s="930"/>
      <c r="CN59" s="930"/>
      <c r="CO59" s="930"/>
      <c r="CP59" s="930"/>
      <c r="CQ59" s="930"/>
      <c r="CR59" s="930"/>
      <c r="CS59" s="930"/>
      <c r="CT59" s="930"/>
      <c r="CU59" s="930"/>
      <c r="CV59" s="930"/>
      <c r="CW59" s="930"/>
      <c r="CX59" s="930"/>
      <c r="CY59" s="930"/>
      <c r="CZ59" s="930"/>
      <c r="DA59" s="930"/>
      <c r="DB59" s="930"/>
      <c r="DC59" s="930"/>
      <c r="DD59" s="930"/>
      <c r="DE59" s="930"/>
      <c r="DF59" s="930"/>
      <c r="DG59" s="930"/>
      <c r="DH59" s="930"/>
      <c r="DI59" s="930"/>
      <c r="DJ59" s="930"/>
      <c r="DK59" s="930"/>
      <c r="DL59" s="930"/>
      <c r="DM59" s="930"/>
      <c r="DN59" s="930"/>
      <c r="DO59" s="930"/>
      <c r="DP59" s="930"/>
      <c r="DQ59" s="930"/>
      <c r="DR59" s="930"/>
      <c r="DS59" s="930"/>
      <c r="DT59" s="930"/>
      <c r="DU59" s="930"/>
      <c r="DV59" s="930"/>
      <c r="DW59" s="930"/>
      <c r="DX59" s="930"/>
      <c r="DY59" s="930"/>
      <c r="DZ59" s="930"/>
      <c r="EA59" s="930"/>
      <c r="EB59" s="930"/>
      <c r="EC59" s="930"/>
      <c r="ED59" s="930"/>
      <c r="EE59" s="930"/>
      <c r="EF59" s="930"/>
      <c r="EG59" s="930"/>
      <c r="EH59" s="930"/>
      <c r="EI59" s="930"/>
      <c r="EJ59" s="930"/>
      <c r="EK59" s="930"/>
      <c r="EL59" s="930"/>
      <c r="EM59" s="930"/>
      <c r="EN59" s="930"/>
      <c r="EO59" s="930"/>
      <c r="EP59" s="930"/>
      <c r="EQ59" s="930"/>
      <c r="ER59" s="930"/>
      <c r="ES59" s="930"/>
      <c r="ET59" s="930"/>
      <c r="EU59" s="930"/>
      <c r="EV59" s="930"/>
      <c r="EW59" s="930"/>
      <c r="EX59" s="930"/>
      <c r="EY59" s="930"/>
      <c r="EZ59" s="930"/>
      <c r="FA59" s="930"/>
      <c r="FB59" s="930"/>
      <c r="FC59" s="930"/>
      <c r="FD59" s="930"/>
      <c r="FE59" s="930"/>
      <c r="FF59" s="930"/>
      <c r="FG59" s="930"/>
      <c r="FH59" s="930"/>
      <c r="FI59" s="930"/>
      <c r="FJ59" s="930"/>
      <c r="FK59" s="930"/>
      <c r="FL59" s="930"/>
      <c r="FM59" s="930"/>
      <c r="FN59" s="930"/>
      <c r="FO59" s="930"/>
      <c r="FP59" s="930"/>
      <c r="FQ59" s="930"/>
      <c r="FR59" s="930"/>
      <c r="FS59" s="930"/>
      <c r="FT59" s="930"/>
      <c r="FU59" s="930"/>
      <c r="FV59" s="930"/>
      <c r="FW59" s="930"/>
      <c r="FX59" s="930"/>
      <c r="FY59" s="930"/>
      <c r="FZ59" s="930"/>
      <c r="GA59" s="930"/>
      <c r="GB59" s="930"/>
      <c r="GC59" s="930"/>
      <c r="GD59" s="930"/>
      <c r="GE59" s="930"/>
      <c r="GF59" s="930"/>
      <c r="GG59" s="930"/>
      <c r="GH59" s="930"/>
      <c r="GI59" s="930"/>
      <c r="GJ59" s="930"/>
      <c r="GK59" s="930"/>
      <c r="GL59" s="930"/>
      <c r="GM59" s="930"/>
      <c r="GN59" s="930"/>
      <c r="GO59" s="930"/>
      <c r="GP59" s="930"/>
      <c r="GQ59" s="930"/>
      <c r="GR59" s="930"/>
      <c r="GS59" s="930"/>
      <c r="GT59" s="930"/>
      <c r="GU59" s="930"/>
      <c r="GV59" s="930"/>
      <c r="GW59" s="930"/>
      <c r="GX59" s="930"/>
      <c r="GY59" s="930"/>
      <c r="GZ59" s="930"/>
      <c r="HA59" s="930"/>
      <c r="HB59" s="930"/>
      <c r="HC59" s="930"/>
      <c r="HD59" s="930"/>
      <c r="HE59" s="930"/>
      <c r="HF59" s="930"/>
      <c r="HG59" s="930"/>
      <c r="HH59" s="930"/>
      <c r="HI59" s="930"/>
      <c r="HJ59" s="930"/>
      <c r="HK59" s="930"/>
      <c r="HL59" s="930"/>
      <c r="HM59" s="930"/>
      <c r="HN59" s="930"/>
      <c r="HO59" s="930"/>
      <c r="HP59" s="930"/>
      <c r="HQ59" s="930"/>
      <c r="HR59" s="930"/>
      <c r="HS59" s="930"/>
      <c r="HT59" s="930"/>
      <c r="HU59" s="930"/>
      <c r="HV59" s="930"/>
      <c r="HW59" s="930"/>
      <c r="HX59" s="930"/>
      <c r="HY59" s="930"/>
      <c r="HZ59" s="930"/>
      <c r="IA59" s="930"/>
      <c r="IB59" s="930"/>
      <c r="IC59" s="930"/>
      <c r="ID59" s="930"/>
      <c r="IE59" s="930"/>
      <c r="IF59" s="930"/>
      <c r="IG59" s="930"/>
      <c r="IH59" s="930"/>
      <c r="II59" s="930"/>
      <c r="IJ59" s="930"/>
      <c r="IK59" s="930"/>
      <c r="IL59" s="930"/>
      <c r="IM59" s="930"/>
      <c r="IN59" s="930"/>
      <c r="IO59" s="930"/>
      <c r="IP59" s="930"/>
      <c r="IQ59" s="930"/>
      <c r="IR59" s="930"/>
      <c r="IS59" s="930"/>
      <c r="IT59" s="930"/>
      <c r="IU59" s="930"/>
      <c r="IV59" s="930"/>
    </row>
    <row r="60" spans="1:256">
      <c r="A60" s="935"/>
      <c r="B60" s="945"/>
      <c r="C60" s="945"/>
      <c r="D60" s="945"/>
      <c r="E60" s="945"/>
      <c r="F60" s="945"/>
      <c r="G60" s="945"/>
      <c r="H60" s="945"/>
      <c r="I60" s="945"/>
      <c r="J60" s="930"/>
      <c r="K60" s="930"/>
      <c r="L60" s="930"/>
      <c r="M60" s="930"/>
      <c r="N60" s="930"/>
      <c r="O60" s="930"/>
      <c r="P60" s="930"/>
      <c r="Q60" s="930"/>
      <c r="R60" s="930"/>
      <c r="S60" s="930"/>
      <c r="T60" s="930"/>
      <c r="U60" s="930"/>
      <c r="V60" s="930"/>
      <c r="W60" s="930"/>
      <c r="X60" s="930"/>
      <c r="Y60" s="930"/>
      <c r="Z60" s="930"/>
      <c r="AA60" s="930"/>
      <c r="AB60" s="930"/>
      <c r="AC60" s="930"/>
      <c r="AD60" s="930"/>
      <c r="AE60" s="930"/>
      <c r="AF60" s="930"/>
      <c r="AG60" s="930"/>
      <c r="AH60" s="930"/>
      <c r="AI60" s="930"/>
      <c r="AJ60" s="930"/>
      <c r="AK60" s="930"/>
      <c r="AL60" s="930"/>
      <c r="AM60" s="930"/>
      <c r="AN60" s="930"/>
      <c r="AO60" s="930"/>
      <c r="AP60" s="930"/>
      <c r="AQ60" s="930"/>
      <c r="AR60" s="930"/>
      <c r="AS60" s="930"/>
      <c r="AT60" s="930"/>
      <c r="AU60" s="930"/>
      <c r="AV60" s="930"/>
      <c r="AW60" s="930"/>
      <c r="AX60" s="930"/>
      <c r="AY60" s="930"/>
      <c r="AZ60" s="930"/>
      <c r="BA60" s="930"/>
      <c r="BB60" s="930"/>
      <c r="BC60" s="930"/>
      <c r="BD60" s="930"/>
      <c r="BE60" s="930"/>
      <c r="BF60" s="930"/>
      <c r="BG60" s="930"/>
      <c r="BH60" s="930"/>
      <c r="BI60" s="930"/>
      <c r="BJ60" s="930"/>
      <c r="BK60" s="930"/>
      <c r="BL60" s="930"/>
      <c r="BM60" s="930"/>
      <c r="BN60" s="930"/>
      <c r="BO60" s="930"/>
      <c r="BP60" s="930"/>
      <c r="BQ60" s="930"/>
      <c r="BR60" s="930"/>
      <c r="BS60" s="930"/>
      <c r="BT60" s="930"/>
      <c r="BU60" s="930"/>
      <c r="BV60" s="930"/>
      <c r="BW60" s="930"/>
      <c r="BX60" s="930"/>
      <c r="BY60" s="930"/>
      <c r="BZ60" s="930"/>
      <c r="CA60" s="930"/>
      <c r="CB60" s="930"/>
      <c r="CC60" s="930"/>
      <c r="CD60" s="930"/>
      <c r="CE60" s="930"/>
      <c r="CF60" s="930"/>
      <c r="CG60" s="930"/>
      <c r="CH60" s="930"/>
      <c r="CI60" s="930"/>
      <c r="CJ60" s="930"/>
      <c r="CK60" s="930"/>
      <c r="CL60" s="930"/>
      <c r="CM60" s="930"/>
      <c r="CN60" s="930"/>
      <c r="CO60" s="930"/>
      <c r="CP60" s="930"/>
      <c r="CQ60" s="930"/>
      <c r="CR60" s="930"/>
      <c r="CS60" s="930"/>
      <c r="CT60" s="930"/>
      <c r="CU60" s="930"/>
      <c r="CV60" s="930"/>
      <c r="CW60" s="930"/>
      <c r="CX60" s="930"/>
      <c r="CY60" s="930"/>
      <c r="CZ60" s="930"/>
      <c r="DA60" s="930"/>
      <c r="DB60" s="930"/>
      <c r="DC60" s="930"/>
      <c r="DD60" s="930"/>
      <c r="DE60" s="930"/>
      <c r="DF60" s="930"/>
      <c r="DG60" s="930"/>
      <c r="DH60" s="930"/>
      <c r="DI60" s="930"/>
      <c r="DJ60" s="930"/>
      <c r="DK60" s="930"/>
      <c r="DL60" s="930"/>
      <c r="DM60" s="930"/>
      <c r="DN60" s="930"/>
      <c r="DO60" s="930"/>
      <c r="DP60" s="930"/>
      <c r="DQ60" s="930"/>
      <c r="DR60" s="930"/>
      <c r="DS60" s="930"/>
      <c r="DT60" s="930"/>
      <c r="DU60" s="930"/>
      <c r="DV60" s="930"/>
      <c r="DW60" s="930"/>
      <c r="DX60" s="930"/>
      <c r="DY60" s="930"/>
      <c r="DZ60" s="930"/>
      <c r="EA60" s="930"/>
      <c r="EB60" s="930"/>
      <c r="EC60" s="930"/>
      <c r="ED60" s="930"/>
      <c r="EE60" s="930"/>
      <c r="EF60" s="930"/>
      <c r="EG60" s="930"/>
      <c r="EH60" s="930"/>
      <c r="EI60" s="930"/>
      <c r="EJ60" s="930"/>
      <c r="EK60" s="930"/>
      <c r="EL60" s="930"/>
      <c r="EM60" s="930"/>
      <c r="EN60" s="930"/>
      <c r="EO60" s="930"/>
      <c r="EP60" s="930"/>
      <c r="EQ60" s="930"/>
      <c r="ER60" s="930"/>
      <c r="ES60" s="930"/>
      <c r="ET60" s="930"/>
      <c r="EU60" s="930"/>
      <c r="EV60" s="930"/>
      <c r="EW60" s="930"/>
      <c r="EX60" s="930"/>
      <c r="EY60" s="930"/>
      <c r="EZ60" s="930"/>
      <c r="FA60" s="930"/>
      <c r="FB60" s="930"/>
      <c r="FC60" s="930"/>
      <c r="FD60" s="930"/>
      <c r="FE60" s="930"/>
      <c r="FF60" s="930"/>
      <c r="FG60" s="930"/>
      <c r="FH60" s="930"/>
      <c r="FI60" s="930"/>
      <c r="FJ60" s="930"/>
      <c r="FK60" s="930"/>
      <c r="FL60" s="930"/>
      <c r="FM60" s="930"/>
      <c r="FN60" s="930"/>
      <c r="FO60" s="930"/>
      <c r="FP60" s="930"/>
      <c r="FQ60" s="930"/>
      <c r="FR60" s="930"/>
      <c r="FS60" s="930"/>
      <c r="FT60" s="930"/>
      <c r="FU60" s="930"/>
      <c r="FV60" s="930"/>
      <c r="FW60" s="930"/>
      <c r="FX60" s="930"/>
      <c r="FY60" s="930"/>
      <c r="FZ60" s="930"/>
      <c r="GA60" s="930"/>
      <c r="GB60" s="930"/>
      <c r="GC60" s="930"/>
      <c r="GD60" s="930"/>
      <c r="GE60" s="930"/>
      <c r="GF60" s="930"/>
      <c r="GG60" s="930"/>
      <c r="GH60" s="930"/>
      <c r="GI60" s="930"/>
      <c r="GJ60" s="930"/>
      <c r="GK60" s="930"/>
      <c r="GL60" s="930"/>
      <c r="GM60" s="930"/>
      <c r="GN60" s="930"/>
      <c r="GO60" s="930"/>
      <c r="GP60" s="930"/>
      <c r="GQ60" s="930"/>
      <c r="GR60" s="930"/>
      <c r="GS60" s="930"/>
      <c r="GT60" s="930"/>
      <c r="GU60" s="930"/>
      <c r="GV60" s="930"/>
      <c r="GW60" s="930"/>
      <c r="GX60" s="930"/>
      <c r="GY60" s="930"/>
      <c r="GZ60" s="930"/>
      <c r="HA60" s="930"/>
      <c r="HB60" s="930"/>
      <c r="HC60" s="930"/>
      <c r="HD60" s="930"/>
      <c r="HE60" s="930"/>
      <c r="HF60" s="930"/>
      <c r="HG60" s="930"/>
      <c r="HH60" s="930"/>
      <c r="HI60" s="930"/>
      <c r="HJ60" s="930"/>
      <c r="HK60" s="930"/>
      <c r="HL60" s="930"/>
      <c r="HM60" s="930"/>
      <c r="HN60" s="930"/>
      <c r="HO60" s="930"/>
      <c r="HP60" s="930"/>
      <c r="HQ60" s="930"/>
      <c r="HR60" s="930"/>
      <c r="HS60" s="930"/>
      <c r="HT60" s="930"/>
      <c r="HU60" s="930"/>
      <c r="HV60" s="930"/>
      <c r="HW60" s="930"/>
      <c r="HX60" s="930"/>
      <c r="HY60" s="930"/>
      <c r="HZ60" s="930"/>
      <c r="IA60" s="930"/>
      <c r="IB60" s="930"/>
      <c r="IC60" s="930"/>
      <c r="ID60" s="930"/>
      <c r="IE60" s="930"/>
      <c r="IF60" s="930"/>
      <c r="IG60" s="930"/>
      <c r="IH60" s="930"/>
      <c r="II60" s="930"/>
      <c r="IJ60" s="930"/>
      <c r="IK60" s="930"/>
      <c r="IL60" s="930"/>
      <c r="IM60" s="930"/>
      <c r="IN60" s="930"/>
      <c r="IO60" s="930"/>
      <c r="IP60" s="930"/>
      <c r="IQ60" s="930"/>
      <c r="IR60" s="930"/>
      <c r="IS60" s="930"/>
      <c r="IT60" s="930"/>
      <c r="IU60" s="930"/>
      <c r="IV60" s="930"/>
    </row>
    <row r="61" spans="1:256" ht="13.5" thickBot="1">
      <c r="A61" s="935">
        <f>+A59+1</f>
        <v>38</v>
      </c>
      <c r="B61" s="946" t="str">
        <f>"Proration Adjustment - Line "&amp;A59&amp;" Col. "&amp;I43&amp;" less Col. "&amp;D43</f>
        <v>Proration Adjustment - Line 37 Col. (H) less Col. (C )</v>
      </c>
      <c r="C61" s="946"/>
      <c r="D61" s="946"/>
      <c r="E61" s="946"/>
      <c r="F61" s="946"/>
      <c r="G61" s="946"/>
      <c r="H61" s="946"/>
      <c r="I61" s="1131">
        <f>+I59-D59</f>
        <v>0</v>
      </c>
      <c r="J61" s="930"/>
      <c r="K61" s="930"/>
      <c r="L61" s="930"/>
      <c r="M61" s="930"/>
      <c r="N61" s="930"/>
      <c r="O61" s="930"/>
      <c r="P61" s="930"/>
      <c r="Q61" s="930"/>
      <c r="R61" s="930"/>
      <c r="S61" s="930"/>
      <c r="T61" s="930"/>
      <c r="U61" s="930"/>
      <c r="V61" s="930"/>
      <c r="W61" s="930"/>
      <c r="X61" s="930"/>
      <c r="Y61" s="930"/>
      <c r="Z61" s="930"/>
      <c r="AA61" s="930"/>
      <c r="AB61" s="930"/>
      <c r="AC61" s="930"/>
      <c r="AD61" s="930"/>
      <c r="AE61" s="930"/>
      <c r="AF61" s="930"/>
      <c r="AG61" s="930"/>
      <c r="AH61" s="930"/>
      <c r="AI61" s="930"/>
      <c r="AJ61" s="930"/>
      <c r="AK61" s="930"/>
      <c r="AL61" s="930"/>
      <c r="AM61" s="930"/>
      <c r="AN61" s="930"/>
      <c r="AO61" s="930"/>
      <c r="AP61" s="930"/>
      <c r="AQ61" s="930"/>
      <c r="AR61" s="930"/>
      <c r="AS61" s="930"/>
      <c r="AT61" s="930"/>
      <c r="AU61" s="930"/>
      <c r="AV61" s="930"/>
      <c r="AW61" s="930"/>
      <c r="AX61" s="930"/>
      <c r="AY61" s="930"/>
      <c r="AZ61" s="930"/>
      <c r="BA61" s="930"/>
      <c r="BB61" s="930"/>
      <c r="BC61" s="930"/>
      <c r="BD61" s="930"/>
      <c r="BE61" s="930"/>
      <c r="BF61" s="930"/>
      <c r="BG61" s="930"/>
      <c r="BH61" s="930"/>
      <c r="BI61" s="930"/>
      <c r="BJ61" s="930"/>
      <c r="BK61" s="930"/>
      <c r="BL61" s="930"/>
      <c r="BM61" s="930"/>
      <c r="BN61" s="930"/>
      <c r="BO61" s="930"/>
      <c r="BP61" s="930"/>
      <c r="BQ61" s="930"/>
      <c r="BR61" s="930"/>
      <c r="BS61" s="930"/>
      <c r="BT61" s="930"/>
      <c r="BU61" s="930"/>
      <c r="BV61" s="930"/>
      <c r="BW61" s="930"/>
      <c r="BX61" s="930"/>
      <c r="BY61" s="930"/>
      <c r="BZ61" s="930"/>
      <c r="CA61" s="930"/>
      <c r="CB61" s="930"/>
      <c r="CC61" s="930"/>
      <c r="CD61" s="930"/>
      <c r="CE61" s="930"/>
      <c r="CF61" s="930"/>
      <c r="CG61" s="930"/>
      <c r="CH61" s="930"/>
      <c r="CI61" s="930"/>
      <c r="CJ61" s="930"/>
      <c r="CK61" s="930"/>
      <c r="CL61" s="930"/>
      <c r="CM61" s="930"/>
      <c r="CN61" s="930"/>
      <c r="CO61" s="930"/>
      <c r="CP61" s="930"/>
      <c r="CQ61" s="930"/>
      <c r="CR61" s="930"/>
      <c r="CS61" s="930"/>
      <c r="CT61" s="930"/>
      <c r="CU61" s="930"/>
      <c r="CV61" s="930"/>
      <c r="CW61" s="930"/>
      <c r="CX61" s="930"/>
      <c r="CY61" s="930"/>
      <c r="CZ61" s="930"/>
      <c r="DA61" s="930"/>
      <c r="DB61" s="930"/>
      <c r="DC61" s="930"/>
      <c r="DD61" s="930"/>
      <c r="DE61" s="930"/>
      <c r="DF61" s="930"/>
      <c r="DG61" s="930"/>
      <c r="DH61" s="930"/>
      <c r="DI61" s="930"/>
      <c r="DJ61" s="930"/>
      <c r="DK61" s="930"/>
      <c r="DL61" s="930"/>
      <c r="DM61" s="930"/>
      <c r="DN61" s="930"/>
      <c r="DO61" s="930"/>
      <c r="DP61" s="930"/>
      <c r="DQ61" s="930"/>
      <c r="DR61" s="930"/>
      <c r="DS61" s="930"/>
      <c r="DT61" s="930"/>
      <c r="DU61" s="930"/>
      <c r="DV61" s="930"/>
      <c r="DW61" s="930"/>
      <c r="DX61" s="930"/>
      <c r="DY61" s="930"/>
      <c r="DZ61" s="930"/>
      <c r="EA61" s="930"/>
      <c r="EB61" s="930"/>
      <c r="EC61" s="930"/>
      <c r="ED61" s="930"/>
      <c r="EE61" s="930"/>
      <c r="EF61" s="930"/>
      <c r="EG61" s="930"/>
      <c r="EH61" s="930"/>
      <c r="EI61" s="930"/>
      <c r="EJ61" s="930"/>
      <c r="EK61" s="930"/>
      <c r="EL61" s="930"/>
      <c r="EM61" s="930"/>
      <c r="EN61" s="930"/>
      <c r="EO61" s="930"/>
      <c r="EP61" s="930"/>
      <c r="EQ61" s="930"/>
      <c r="ER61" s="930"/>
      <c r="ES61" s="930"/>
      <c r="ET61" s="930"/>
      <c r="EU61" s="930"/>
      <c r="EV61" s="930"/>
      <c r="EW61" s="930"/>
      <c r="EX61" s="930"/>
      <c r="EY61" s="930"/>
      <c r="EZ61" s="930"/>
      <c r="FA61" s="930"/>
      <c r="FB61" s="930"/>
      <c r="FC61" s="930"/>
      <c r="FD61" s="930"/>
      <c r="FE61" s="930"/>
      <c r="FF61" s="930"/>
      <c r="FG61" s="930"/>
      <c r="FH61" s="930"/>
      <c r="FI61" s="930"/>
      <c r="FJ61" s="930"/>
      <c r="FK61" s="930"/>
      <c r="FL61" s="930"/>
      <c r="FM61" s="930"/>
      <c r="FN61" s="930"/>
      <c r="FO61" s="930"/>
      <c r="FP61" s="930"/>
      <c r="FQ61" s="930"/>
      <c r="FR61" s="930"/>
      <c r="FS61" s="930"/>
      <c r="FT61" s="930"/>
      <c r="FU61" s="930"/>
      <c r="FV61" s="930"/>
      <c r="FW61" s="930"/>
      <c r="FX61" s="930"/>
      <c r="FY61" s="930"/>
      <c r="FZ61" s="930"/>
      <c r="GA61" s="930"/>
      <c r="GB61" s="930"/>
      <c r="GC61" s="930"/>
      <c r="GD61" s="930"/>
      <c r="GE61" s="930"/>
      <c r="GF61" s="930"/>
      <c r="GG61" s="930"/>
      <c r="GH61" s="930"/>
      <c r="GI61" s="930"/>
      <c r="GJ61" s="930"/>
      <c r="GK61" s="930"/>
      <c r="GL61" s="930"/>
      <c r="GM61" s="930"/>
      <c r="GN61" s="930"/>
      <c r="GO61" s="930"/>
      <c r="GP61" s="930"/>
      <c r="GQ61" s="930"/>
      <c r="GR61" s="930"/>
      <c r="GS61" s="930"/>
      <c r="GT61" s="930"/>
      <c r="GU61" s="930"/>
      <c r="GV61" s="930"/>
      <c r="GW61" s="930"/>
      <c r="GX61" s="930"/>
      <c r="GY61" s="930"/>
      <c r="GZ61" s="930"/>
      <c r="HA61" s="930"/>
      <c r="HB61" s="930"/>
      <c r="HC61" s="930"/>
      <c r="HD61" s="930"/>
      <c r="HE61" s="930"/>
      <c r="HF61" s="930"/>
      <c r="HG61" s="930"/>
      <c r="HH61" s="930"/>
      <c r="HI61" s="930"/>
      <c r="HJ61" s="930"/>
      <c r="HK61" s="930"/>
      <c r="HL61" s="930"/>
      <c r="HM61" s="930"/>
      <c r="HN61" s="930"/>
      <c r="HO61" s="930"/>
      <c r="HP61" s="930"/>
      <c r="HQ61" s="930"/>
      <c r="HR61" s="930"/>
      <c r="HS61" s="930"/>
      <c r="HT61" s="930"/>
      <c r="HU61" s="930"/>
      <c r="HV61" s="930"/>
      <c r="HW61" s="930"/>
      <c r="HX61" s="930"/>
      <c r="HY61" s="930"/>
      <c r="HZ61" s="930"/>
      <c r="IA61" s="930"/>
      <c r="IB61" s="930"/>
      <c r="IC61" s="930"/>
      <c r="ID61" s="930"/>
      <c r="IE61" s="930"/>
      <c r="IF61" s="930"/>
      <c r="IG61" s="930"/>
      <c r="IH61" s="930"/>
      <c r="II61" s="930"/>
      <c r="IJ61" s="930"/>
      <c r="IK61" s="930"/>
      <c r="IL61" s="930"/>
      <c r="IM61" s="930"/>
      <c r="IN61" s="930"/>
      <c r="IO61" s="930"/>
      <c r="IP61" s="930"/>
      <c r="IQ61" s="930"/>
      <c r="IR61" s="930"/>
      <c r="IS61" s="930"/>
      <c r="IT61" s="930"/>
      <c r="IU61" s="930"/>
      <c r="IV61" s="930"/>
    </row>
    <row r="62" spans="1:256" ht="13.5" thickTop="1"/>
  </sheetData>
  <mergeCells count="8">
    <mergeCell ref="E10:F10"/>
    <mergeCell ref="E37:F37"/>
    <mergeCell ref="A2:I2"/>
    <mergeCell ref="A3:I3"/>
    <mergeCell ref="A4:I4"/>
    <mergeCell ref="A5:I5"/>
    <mergeCell ref="B6:E6"/>
    <mergeCell ref="A7:I7"/>
  </mergeCells>
  <pageMargins left="0.7" right="0.7" top="0.75" bottom="0.75" header="0.3" footer="0.3"/>
  <pageSetup scale="65" orientation="portrait" r:id="rId1"/>
  <headerFooter>
    <oddHeader>&amp;RAEP - SPP Formula Rate
TCOS - WS-C3
Page: &amp;P of &amp;N</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8"/>
  <sheetViews>
    <sheetView topLeftCell="A42" zoomScale="70" zoomScaleNormal="70" zoomScaleSheetLayoutView="80" zoomScalePageLayoutView="70" workbookViewId="0">
      <selection activeCell="O34" sqref="O34"/>
    </sheetView>
  </sheetViews>
  <sheetFormatPr defaultColWidth="11.42578125" defaultRowHeight="12.75"/>
  <cols>
    <col min="1" max="1" width="8.140625" style="97" customWidth="1"/>
    <col min="2" max="2" width="15.42578125" style="93" customWidth="1"/>
    <col min="3" max="3" width="47.85546875" style="93" customWidth="1"/>
    <col min="4" max="4" width="26.5703125" style="93" customWidth="1"/>
    <col min="5" max="5" width="21" style="93" customWidth="1"/>
    <col min="6" max="6" width="1" style="93" customWidth="1"/>
    <col min="7" max="7" width="24" style="93" customWidth="1"/>
    <col min="8" max="8" width="1" style="93" customWidth="1"/>
    <col min="9" max="9" width="19.140625" style="93" customWidth="1"/>
    <col min="10" max="10" width="16.7109375" style="93" customWidth="1"/>
    <col min="11" max="11" width="16.42578125" style="93" customWidth="1"/>
    <col min="12" max="12" width="24.42578125" style="93" customWidth="1"/>
    <col min="13" max="14" width="13.42578125" style="93" customWidth="1"/>
    <col min="15" max="15" width="13.7109375" style="93" customWidth="1"/>
    <col min="16" max="16384" width="11.42578125" style="93"/>
  </cols>
  <sheetData>
    <row r="1" spans="1:15" ht="15">
      <c r="A1" s="1553" t="str">
        <f>+'SWEPCO TCOS'!F3</f>
        <v xml:space="preserve">AEP West SPP Member Operating Companies </v>
      </c>
      <c r="B1" s="1553"/>
      <c r="C1" s="1553"/>
      <c r="D1" s="1553"/>
      <c r="E1" s="1553"/>
      <c r="F1" s="1553"/>
      <c r="G1" s="1553"/>
      <c r="H1" s="1553"/>
      <c r="I1" s="1553"/>
      <c r="J1" s="1553"/>
      <c r="K1" s="1553"/>
      <c r="L1" s="1553"/>
      <c r="M1" s="324"/>
      <c r="N1" s="324"/>
      <c r="O1" s="324"/>
    </row>
    <row r="2" spans="1:15" ht="15">
      <c r="A2" s="1553" t="str">
        <f>+'SWEPCO WS A RB Support '!A2:G2</f>
        <v xml:space="preserve">Actual / Projected 2019 Rate Year Cost of Service Formula Rate </v>
      </c>
      <c r="B2" s="1553"/>
      <c r="C2" s="1553"/>
      <c r="D2" s="1553"/>
      <c r="E2" s="1553"/>
      <c r="F2" s="1553"/>
      <c r="G2" s="1553"/>
      <c r="H2" s="1553"/>
      <c r="I2" s="1553"/>
      <c r="J2" s="1553"/>
      <c r="K2" s="1553"/>
      <c r="L2" s="1553"/>
      <c r="M2" s="1132"/>
      <c r="N2" s="1132"/>
      <c r="O2" s="1132"/>
    </row>
    <row r="3" spans="1:15" ht="15.75">
      <c r="A3" s="1554" t="s">
        <v>131</v>
      </c>
      <c r="B3" s="1553"/>
      <c r="C3" s="1553"/>
      <c r="D3" s="1553"/>
      <c r="E3" s="1553"/>
      <c r="F3" s="1553"/>
      <c r="G3" s="1553"/>
      <c r="H3" s="1553"/>
      <c r="I3" s="1553"/>
      <c r="J3" s="1553"/>
      <c r="K3" s="1553"/>
      <c r="L3" s="1553"/>
      <c r="M3" s="384"/>
      <c r="N3" s="384"/>
      <c r="O3" s="384"/>
    </row>
    <row r="4" spans="1:15" ht="15.75">
      <c r="A4" s="1574" t="str">
        <f>+'SWEPCO TCOS'!F7</f>
        <v>SOUTHWESTERN ELECTRIC POWER COMPANY</v>
      </c>
      <c r="B4" s="1574"/>
      <c r="C4" s="1574"/>
      <c r="D4" s="1574"/>
      <c r="E4" s="1574"/>
      <c r="F4" s="1574"/>
      <c r="G4" s="1574"/>
      <c r="H4" s="1574"/>
      <c r="I4" s="1574"/>
      <c r="J4" s="1574"/>
      <c r="K4" s="1574"/>
      <c r="L4" s="1574"/>
      <c r="M4" s="132"/>
      <c r="N4" s="132"/>
      <c r="O4" s="132"/>
    </row>
    <row r="5" spans="1:15" ht="15">
      <c r="A5" s="132"/>
      <c r="B5" s="132"/>
      <c r="C5" s="132"/>
      <c r="D5" s="132"/>
      <c r="E5" s="132"/>
      <c r="F5" s="132"/>
      <c r="G5" s="132"/>
      <c r="H5" s="163"/>
      <c r="I5" s="89"/>
      <c r="J5" s="89"/>
      <c r="K5" s="89"/>
      <c r="L5" s="89"/>
      <c r="M5" s="89"/>
      <c r="N5" s="89"/>
      <c r="O5" s="89"/>
    </row>
    <row r="6" spans="1:15" ht="12.75" customHeight="1">
      <c r="A6" s="112"/>
      <c r="B6" s="112" t="s">
        <v>338</v>
      </c>
      <c r="C6" s="112" t="s">
        <v>339</v>
      </c>
      <c r="D6" s="112" t="s">
        <v>242</v>
      </c>
      <c r="E6" s="112" t="s">
        <v>341</v>
      </c>
      <c r="F6" s="112"/>
      <c r="G6" s="112" t="s">
        <v>266</v>
      </c>
      <c r="H6" s="112"/>
      <c r="I6" s="112" t="s">
        <v>267</v>
      </c>
      <c r="J6" s="112" t="s">
        <v>268</v>
      </c>
      <c r="K6" s="112" t="s">
        <v>273</v>
      </c>
      <c r="L6" s="112" t="s">
        <v>207</v>
      </c>
      <c r="M6" s="112"/>
      <c r="N6" s="112"/>
      <c r="O6" s="112"/>
    </row>
    <row r="7" spans="1:15">
      <c r="A7" s="111"/>
    </row>
    <row r="8" spans="1:15" ht="18">
      <c r="A8" s="111"/>
      <c r="B8" s="1573" t="s">
        <v>393</v>
      </c>
      <c r="C8" s="1573"/>
      <c r="D8" s="1573"/>
      <c r="E8" s="1573"/>
      <c r="F8" s="1573"/>
      <c r="G8" s="1573"/>
      <c r="H8" s="1573"/>
      <c r="I8" s="1573"/>
      <c r="J8" s="1573"/>
      <c r="K8" s="1573"/>
    </row>
    <row r="9" spans="1:15">
      <c r="A9" s="111"/>
      <c r="I9" s="40"/>
      <c r="J9" s="40"/>
    </row>
    <row r="10" spans="1:15" ht="30" customHeight="1">
      <c r="A10" s="1284" t="s">
        <v>345</v>
      </c>
      <c r="B10" s="86"/>
      <c r="C10" s="457"/>
      <c r="D10" s="458"/>
      <c r="E10" s="1611" t="str">
        <f>"Balance @ 
December 31, "&amp;'SWEPCO TCOS'!N1&amp;""</f>
        <v>Balance @ 
December 31, 2019</v>
      </c>
      <c r="F10" s="458"/>
      <c r="G10" s="1611" t="str">
        <f>"Balance @ 
December 31, "&amp;'SWEPCO TCOS'!N1-1&amp;""</f>
        <v>Balance @ 
December 31, 2018</v>
      </c>
      <c r="H10" s="459"/>
      <c r="I10" s="1612" t="str">
        <f>"Average Balance for Rate Year "</f>
        <v xml:space="preserve">Average Balance for Rate Year </v>
      </c>
      <c r="J10" s="40"/>
      <c r="K10" s="89"/>
      <c r="L10" s="94"/>
      <c r="M10" s="89"/>
      <c r="N10" s="89"/>
    </row>
    <row r="11" spans="1:15">
      <c r="A11" s="1284" t="s">
        <v>283</v>
      </c>
      <c r="B11" s="91"/>
      <c r="C11" s="86"/>
      <c r="D11" s="178" t="s">
        <v>384</v>
      </c>
      <c r="E11" s="1578"/>
      <c r="F11" s="179"/>
      <c r="G11" s="1578"/>
      <c r="H11" s="180"/>
      <c r="I11" s="1580"/>
      <c r="J11" s="40"/>
      <c r="K11" s="95"/>
      <c r="L11" s="96"/>
      <c r="M11" s="87"/>
      <c r="N11" s="87"/>
    </row>
    <row r="12" spans="1:15">
      <c r="A12" s="91"/>
      <c r="B12" s="91"/>
      <c r="C12" s="86"/>
      <c r="D12" s="89"/>
      <c r="E12" s="303" t="s">
        <v>3</v>
      </c>
      <c r="F12" s="85"/>
      <c r="G12" s="303" t="s">
        <v>4</v>
      </c>
      <c r="H12" s="92"/>
      <c r="J12" s="40"/>
      <c r="K12" s="95"/>
      <c r="L12" s="96"/>
      <c r="M12" s="87"/>
      <c r="N12" s="87"/>
    </row>
    <row r="13" spans="1:15">
      <c r="A13" s="91"/>
      <c r="B13" s="91"/>
      <c r="D13" s="72"/>
      <c r="E13" s="1286"/>
      <c r="F13" s="1286"/>
      <c r="G13" s="496"/>
      <c r="H13" s="1286"/>
      <c r="I13" s="1286"/>
      <c r="K13" s="1286"/>
      <c r="L13" s="1286"/>
      <c r="M13" s="87"/>
      <c r="N13" s="87"/>
    </row>
    <row r="14" spans="1:15">
      <c r="A14" s="91"/>
      <c r="B14" s="91"/>
      <c r="C14" s="72"/>
      <c r="D14" s="72"/>
      <c r="E14" s="1286"/>
      <c r="F14" s="1286"/>
      <c r="G14" s="1286"/>
      <c r="H14" s="1286"/>
      <c r="I14" s="1286"/>
      <c r="K14" s="1286"/>
      <c r="L14" s="1286"/>
      <c r="M14" s="87"/>
      <c r="N14" s="87"/>
    </row>
    <row r="15" spans="1:15" ht="15">
      <c r="A15" s="91">
        <v>1</v>
      </c>
      <c r="B15" s="91"/>
      <c r="C15" s="72" t="s">
        <v>228</v>
      </c>
      <c r="D15" s="88" t="s">
        <v>156</v>
      </c>
      <c r="E15" s="836">
        <f>+G15</f>
        <v>107954</v>
      </c>
      <c r="F15" s="837"/>
      <c r="G15" s="836">
        <v>107954</v>
      </c>
      <c r="H15" s="1286"/>
      <c r="I15" s="1101">
        <f>IF(G15="",0,(E15+G15)/2)</f>
        <v>107954</v>
      </c>
      <c r="K15" s="1286"/>
      <c r="L15" s="1286"/>
      <c r="M15" s="87"/>
      <c r="N15" s="87"/>
    </row>
    <row r="16" spans="1:15" ht="15">
      <c r="A16" s="91">
        <f>+A15+1</f>
        <v>2</v>
      </c>
      <c r="B16" s="91"/>
      <c r="C16" s="72" t="s">
        <v>1200</v>
      </c>
      <c r="D16" s="88" t="s">
        <v>1198</v>
      </c>
      <c r="E16" s="836"/>
      <c r="F16" s="837"/>
      <c r="G16" s="836"/>
      <c r="H16" s="1286"/>
      <c r="I16" s="1101">
        <f>IF(G16="",0,(E16+G16)/2)</f>
        <v>0</v>
      </c>
      <c r="K16" s="1286"/>
      <c r="L16" s="1286"/>
      <c r="M16" s="87"/>
      <c r="N16" s="87"/>
    </row>
    <row r="17" spans="1:14" ht="15">
      <c r="A17" s="91">
        <f>+A16+1</f>
        <v>3</v>
      </c>
      <c r="B17" s="91"/>
      <c r="C17" s="72" t="s">
        <v>1282</v>
      </c>
      <c r="D17" s="88"/>
      <c r="E17" s="1060">
        <f>+E15-E16</f>
        <v>107954</v>
      </c>
      <c r="F17" s="837"/>
      <c r="G17" s="1060">
        <f>+G15-G16</f>
        <v>107954</v>
      </c>
      <c r="H17" s="1286"/>
      <c r="I17" s="1133">
        <f>IF(G17="",0,(E17+G17)/2)</f>
        <v>107954</v>
      </c>
      <c r="J17" s="38"/>
      <c r="K17" s="1101"/>
      <c r="L17" s="1286"/>
      <c r="M17" s="87"/>
      <c r="N17" s="87"/>
    </row>
    <row r="18" spans="1:14">
      <c r="A18" s="91"/>
      <c r="B18" s="91"/>
      <c r="C18" s="72"/>
      <c r="D18" s="38"/>
      <c r="E18" s="38"/>
      <c r="F18" s="38"/>
      <c r="G18" s="38"/>
      <c r="H18" s="38"/>
      <c r="I18" s="38"/>
      <c r="J18" s="38"/>
      <c r="K18" s="38"/>
      <c r="L18" s="1286"/>
      <c r="M18" s="87"/>
      <c r="N18" s="87"/>
    </row>
    <row r="19" spans="1:14" ht="15">
      <c r="A19" s="91">
        <f>+A17+1</f>
        <v>4</v>
      </c>
      <c r="B19" s="91"/>
      <c r="C19" s="72" t="s">
        <v>229</v>
      </c>
      <c r="D19" s="88" t="s">
        <v>157</v>
      </c>
      <c r="E19" s="836">
        <f>+G19</f>
        <v>77735</v>
      </c>
      <c r="F19" s="837"/>
      <c r="G19" s="836">
        <v>77735</v>
      </c>
      <c r="H19" s="92"/>
      <c r="I19" s="1101">
        <f>IF(G19="",0,(E19+G19)/2)</f>
        <v>77735</v>
      </c>
      <c r="J19" s="40"/>
      <c r="K19" s="95"/>
      <c r="L19" s="96"/>
      <c r="M19" s="87"/>
      <c r="N19" s="87"/>
    </row>
    <row r="20" spans="1:14">
      <c r="A20" s="91"/>
      <c r="B20" s="91"/>
      <c r="C20" s="72"/>
      <c r="D20" s="88"/>
      <c r="E20" s="38"/>
      <c r="F20" s="38"/>
      <c r="G20" s="38"/>
      <c r="H20" s="38"/>
      <c r="I20" s="38"/>
      <c r="J20" s="38"/>
      <c r="K20" s="95"/>
      <c r="L20" s="96"/>
      <c r="M20" s="87"/>
      <c r="N20" s="87"/>
    </row>
    <row r="21" spans="1:14" ht="15">
      <c r="A21" s="91">
        <f>+A19+1</f>
        <v>5</v>
      </c>
      <c r="B21" s="91"/>
      <c r="C21" s="72" t="s">
        <v>1415</v>
      </c>
      <c r="D21" s="88" t="s">
        <v>158</v>
      </c>
      <c r="E21" s="836">
        <f>+G21</f>
        <v>0</v>
      </c>
      <c r="F21" s="1286"/>
      <c r="G21" s="836">
        <v>0</v>
      </c>
      <c r="H21" s="92"/>
      <c r="I21" s="284">
        <f>IF(G21="",0,(E21+G21)/2)</f>
        <v>0</v>
      </c>
      <c r="J21" s="40"/>
      <c r="K21" s="95"/>
      <c r="L21" s="96"/>
      <c r="M21" s="87"/>
      <c r="N21" s="87"/>
    </row>
    <row r="22" spans="1:14">
      <c r="A22" s="91"/>
      <c r="B22" s="91"/>
      <c r="C22" s="86"/>
      <c r="D22" s="89"/>
      <c r="E22" s="85"/>
      <c r="F22" s="85"/>
      <c r="H22" s="92"/>
      <c r="J22" s="40"/>
      <c r="K22" s="95"/>
      <c r="L22" s="96"/>
      <c r="M22" s="87"/>
      <c r="N22" s="87"/>
    </row>
    <row r="23" spans="1:14">
      <c r="A23" s="91"/>
      <c r="B23" s="91"/>
      <c r="C23" s="86"/>
      <c r="D23" s="89"/>
      <c r="E23" s="85"/>
      <c r="F23" s="85"/>
      <c r="H23" s="92"/>
      <c r="J23" s="40"/>
      <c r="K23" s="95"/>
      <c r="L23" s="96"/>
      <c r="M23" s="87"/>
      <c r="N23" s="87"/>
    </row>
    <row r="24" spans="1:14" ht="18">
      <c r="A24" s="91"/>
      <c r="B24" s="1573" t="s">
        <v>238</v>
      </c>
      <c r="C24" s="1573"/>
      <c r="D24" s="1573"/>
      <c r="E24" s="1573"/>
      <c r="F24" s="1573"/>
      <c r="G24" s="1573"/>
      <c r="H24" s="1573"/>
      <c r="I24" s="1573"/>
      <c r="J24" s="1573"/>
      <c r="K24" s="1573"/>
      <c r="L24" s="96"/>
      <c r="M24" s="87"/>
      <c r="N24" s="87"/>
    </row>
    <row r="25" spans="1:14" ht="12.75" customHeight="1">
      <c r="A25" s="91"/>
      <c r="B25" s="173"/>
      <c r="C25" s="86"/>
      <c r="D25" s="1286"/>
      <c r="E25" s="1283"/>
      <c r="G25" s="1283" t="s">
        <v>269</v>
      </c>
      <c r="I25" s="1281"/>
      <c r="J25" s="1281"/>
      <c r="K25" s="1281" t="s">
        <v>354</v>
      </c>
      <c r="L25" s="96"/>
      <c r="M25" s="87"/>
      <c r="N25" s="87"/>
    </row>
    <row r="26" spans="1:14" ht="12.75" customHeight="1">
      <c r="A26" s="91"/>
      <c r="B26" s="173"/>
      <c r="C26" s="86"/>
      <c r="D26" s="1281" t="s">
        <v>208</v>
      </c>
      <c r="E26" s="1281" t="s">
        <v>231</v>
      </c>
      <c r="G26" s="1281" t="s">
        <v>292</v>
      </c>
      <c r="I26" s="1281" t="s">
        <v>225</v>
      </c>
      <c r="J26" s="1281" t="s">
        <v>337</v>
      </c>
      <c r="K26" s="1281" t="s">
        <v>382</v>
      </c>
      <c r="L26" s="96"/>
      <c r="M26" s="87"/>
      <c r="N26" s="87"/>
    </row>
    <row r="27" spans="1:14" ht="12.75" customHeight="1">
      <c r="A27" s="91"/>
      <c r="B27" s="173"/>
      <c r="C27" s="86"/>
      <c r="D27" s="1284" t="s">
        <v>270</v>
      </c>
      <c r="E27" s="1284" t="s">
        <v>209</v>
      </c>
      <c r="G27" s="1284" t="s">
        <v>226</v>
      </c>
      <c r="I27" s="1284" t="s">
        <v>226</v>
      </c>
      <c r="J27" s="1284" t="s">
        <v>226</v>
      </c>
      <c r="K27" s="1284" t="s">
        <v>227</v>
      </c>
      <c r="L27" s="96"/>
      <c r="M27" s="87"/>
      <c r="N27" s="87"/>
    </row>
    <row r="28" spans="1:14">
      <c r="A28" s="91"/>
      <c r="B28" s="91"/>
      <c r="C28" s="86"/>
      <c r="D28" s="300"/>
      <c r="E28" s="281"/>
      <c r="F28" s="281"/>
      <c r="G28" s="282"/>
      <c r="H28" s="283"/>
      <c r="I28" s="282"/>
      <c r="J28" s="287"/>
      <c r="K28" s="1355"/>
      <c r="L28" s="96"/>
      <c r="M28" s="87"/>
      <c r="N28" s="87"/>
    </row>
    <row r="29" spans="1:14">
      <c r="A29" s="91">
        <f>+A21+1</f>
        <v>6</v>
      </c>
      <c r="B29" s="91"/>
      <c r="C29" s="93" t="str">
        <f>"Totals as of December 31, "&amp;'SWEPCO TCOS'!N1&amp;""</f>
        <v>Totals as of December 31, 2019</v>
      </c>
      <c r="D29" s="284">
        <f>ROUND(D71,0)</f>
        <v>29418343</v>
      </c>
      <c r="E29" s="284">
        <f>ROUND(E71,0)</f>
        <v>-69374032</v>
      </c>
      <c r="F29" s="284"/>
      <c r="G29" s="284">
        <f>ROUND(G71,0)</f>
        <v>0</v>
      </c>
      <c r="H29" s="283"/>
      <c r="I29" s="284">
        <f>ROUND(I71,0)</f>
        <v>1781959</v>
      </c>
      <c r="J29" s="296">
        <f>+J71</f>
        <v>97010416</v>
      </c>
      <c r="K29" s="284">
        <f>ROUND(K71,0)</f>
        <v>98792375</v>
      </c>
      <c r="L29" s="96"/>
      <c r="M29" s="87"/>
      <c r="N29" s="87"/>
    </row>
    <row r="30" spans="1:14">
      <c r="A30" s="91">
        <f>+A29+1</f>
        <v>7</v>
      </c>
      <c r="B30" s="91"/>
      <c r="C30" s="93" t="str">
        <f>"Totals as of December 31, "&amp;'SWEPCO TCOS'!N1-1&amp;""</f>
        <v>Totals as of December 31, 2018</v>
      </c>
      <c r="D30" s="300">
        <f>IF(D112="","",D112)</f>
        <v>29418343</v>
      </c>
      <c r="E30" s="300">
        <f>IF(E112="","",E112)</f>
        <v>-69374032</v>
      </c>
      <c r="F30" s="281"/>
      <c r="G30" s="284">
        <f>ROUND(G112,0)</f>
        <v>0</v>
      </c>
      <c r="H30" s="283"/>
      <c r="I30" s="300">
        <f>IF(I112="","",I112)</f>
        <v>1781959</v>
      </c>
      <c r="J30" s="300">
        <f>IF(J112="","",J112)</f>
        <v>97010416</v>
      </c>
      <c r="K30" s="300">
        <f>IF(K112="","",K112)</f>
        <v>98792375</v>
      </c>
      <c r="L30" s="96"/>
      <c r="M30" s="87"/>
      <c r="N30" s="87"/>
    </row>
    <row r="31" spans="1:14" ht="13.5" thickBot="1">
      <c r="A31" s="91">
        <f>+A30+1</f>
        <v>8</v>
      </c>
      <c r="B31" s="91"/>
      <c r="C31" s="269" t="s">
        <v>399</v>
      </c>
      <c r="D31" s="1134">
        <f>IF(D30="",0,(D29+D30)/2)</f>
        <v>29418343</v>
      </c>
      <c r="E31" s="1134">
        <f>IF(E30="",0,(E29+E30)/2)</f>
        <v>-69374032</v>
      </c>
      <c r="F31" s="285"/>
      <c r="G31" s="1134">
        <f>IF(G30="",0,(G29+G30)/2)</f>
        <v>0</v>
      </c>
      <c r="H31" s="286"/>
      <c r="I31" s="1134">
        <f>IF(I30="",0,(I29+I30)/2)</f>
        <v>1781959</v>
      </c>
      <c r="J31" s="1134">
        <f>IF(J30="",0,(J29+J30)/2)</f>
        <v>97010416</v>
      </c>
      <c r="K31" s="1134">
        <f>IF(K30="",0,(K29+K30)/2)</f>
        <v>98792375</v>
      </c>
      <c r="L31" s="96"/>
      <c r="M31" s="87"/>
      <c r="N31" s="87"/>
    </row>
    <row r="32" spans="1:14" ht="13.5" thickTop="1">
      <c r="A32" s="91"/>
      <c r="B32" s="91"/>
      <c r="D32" s="300"/>
      <c r="E32" s="281"/>
      <c r="F32" s="281"/>
      <c r="G32" s="282"/>
      <c r="H32" s="283"/>
      <c r="I32" s="282"/>
      <c r="J32" s="287"/>
      <c r="K32" s="297"/>
      <c r="L32" s="96"/>
      <c r="M32" s="87"/>
      <c r="N32" s="87"/>
    </row>
    <row r="33" spans="1:14">
      <c r="A33" s="93"/>
      <c r="K33" s="95"/>
      <c r="L33" s="96"/>
      <c r="M33" s="87"/>
      <c r="N33" s="87"/>
    </row>
    <row r="34" spans="1:14" ht="18">
      <c r="A34" s="91"/>
      <c r="B34" s="1610" t="str">
        <f>"Prepayments Account 165 - Balance @ 12/31/"&amp;D36&amp;""</f>
        <v>Prepayments Account 165 - Balance @ 12/31/2019</v>
      </c>
      <c r="C34" s="1576"/>
      <c r="D34" s="1576"/>
      <c r="E34" s="1576"/>
      <c r="F34" s="1576"/>
      <c r="G34" s="1576"/>
      <c r="H34" s="1576"/>
      <c r="I34" s="1576"/>
      <c r="J34" s="1576"/>
      <c r="K34" s="95"/>
      <c r="L34" s="96"/>
      <c r="M34" s="87"/>
      <c r="N34" s="87"/>
    </row>
    <row r="35" spans="1:14">
      <c r="A35" s="91"/>
      <c r="B35" s="1351"/>
      <c r="C35" s="1286"/>
      <c r="D35" s="1286"/>
      <c r="E35" s="1283"/>
      <c r="G35" s="1283" t="s">
        <v>269</v>
      </c>
      <c r="I35" s="1281"/>
      <c r="J35" s="1281"/>
      <c r="K35" s="1281" t="s">
        <v>354</v>
      </c>
      <c r="L35" s="38"/>
      <c r="M35" s="87"/>
      <c r="N35" s="87"/>
    </row>
    <row r="36" spans="1:14">
      <c r="A36" s="91"/>
      <c r="B36" s="1351"/>
      <c r="C36" s="1353"/>
      <c r="D36" s="1281">
        <f>+'SWEPCO TCOS'!N1</f>
        <v>2019</v>
      </c>
      <c r="E36" s="1281" t="s">
        <v>231</v>
      </c>
      <c r="G36" s="1281" t="s">
        <v>292</v>
      </c>
      <c r="I36" s="1281" t="s">
        <v>225</v>
      </c>
      <c r="J36" s="1281" t="s">
        <v>337</v>
      </c>
      <c r="K36" s="1281" t="s">
        <v>382</v>
      </c>
      <c r="L36" s="38"/>
      <c r="M36" s="87"/>
      <c r="N36" s="87"/>
    </row>
    <row r="37" spans="1:14">
      <c r="A37" s="91"/>
      <c r="B37" s="1284" t="s">
        <v>272</v>
      </c>
      <c r="C37" s="1284" t="s">
        <v>343</v>
      </c>
      <c r="D37" s="1284" t="s">
        <v>270</v>
      </c>
      <c r="E37" s="1284" t="s">
        <v>209</v>
      </c>
      <c r="G37" s="1284" t="s">
        <v>226</v>
      </c>
      <c r="I37" s="1284" t="s">
        <v>226</v>
      </c>
      <c r="J37" s="1284" t="s">
        <v>226</v>
      </c>
      <c r="K37" s="1284" t="s">
        <v>227</v>
      </c>
      <c r="L37" s="1284" t="s">
        <v>254</v>
      </c>
      <c r="M37" s="87"/>
      <c r="N37" s="87"/>
    </row>
    <row r="38" spans="1:14">
      <c r="A38" s="91"/>
      <c r="B38" s="1351"/>
      <c r="C38" s="1286"/>
      <c r="D38" s="1286"/>
      <c r="E38" s="1286"/>
      <c r="G38" s="1286"/>
      <c r="I38" s="1286"/>
      <c r="J38" s="1286"/>
      <c r="K38" s="1286"/>
      <c r="L38" s="38"/>
      <c r="M38" s="87"/>
      <c r="N38" s="87"/>
    </row>
    <row r="39" spans="1:14" ht="124.5" customHeight="1">
      <c r="A39" s="198">
        <f>+A31+1</f>
        <v>9</v>
      </c>
      <c r="B39" s="847" t="s">
        <v>817</v>
      </c>
      <c r="C39" s="847" t="s">
        <v>818</v>
      </c>
      <c r="D39" s="848">
        <v>1377548</v>
      </c>
      <c r="E39" s="1379"/>
      <c r="F39" s="850">
        <f>+F79</f>
        <v>0</v>
      </c>
      <c r="G39" s="1378"/>
      <c r="H39" s="850">
        <f>+H79</f>
        <v>0</v>
      </c>
      <c r="I39" s="1267">
        <v>624576</v>
      </c>
      <c r="J39" s="1267">
        <v>752972</v>
      </c>
      <c r="K39" s="1378">
        <f t="shared" ref="K39:K69" si="0">+G39+I39+J39</f>
        <v>1377548</v>
      </c>
      <c r="L39" s="1268" t="s">
        <v>1010</v>
      </c>
      <c r="M39" s="87"/>
      <c r="N39" s="87"/>
    </row>
    <row r="40" spans="1:14">
      <c r="A40" s="198">
        <f t="shared" ref="A40:A69" si="1">+A39+1</f>
        <v>10</v>
      </c>
      <c r="B40" s="847" t="s">
        <v>1011</v>
      </c>
      <c r="C40" s="847" t="s">
        <v>1012</v>
      </c>
      <c r="D40" s="848">
        <v>0</v>
      </c>
      <c r="E40" s="1379"/>
      <c r="F40" s="850">
        <f>+F80</f>
        <v>0</v>
      </c>
      <c r="G40" s="1378"/>
      <c r="H40" s="850">
        <f>+H80</f>
        <v>0</v>
      </c>
      <c r="I40" s="1378"/>
      <c r="J40" s="1378"/>
      <c r="K40" s="1378">
        <f t="shared" si="0"/>
        <v>0</v>
      </c>
      <c r="L40" s="1268"/>
      <c r="M40" s="87"/>
      <c r="N40" s="87"/>
    </row>
    <row r="41" spans="1:14">
      <c r="A41" s="198">
        <f t="shared" si="1"/>
        <v>11</v>
      </c>
      <c r="B41" s="1265" t="s">
        <v>819</v>
      </c>
      <c r="C41" s="847" t="s">
        <v>820</v>
      </c>
      <c r="D41" s="848">
        <v>0</v>
      </c>
      <c r="E41" s="1379">
        <f>+D41</f>
        <v>0</v>
      </c>
      <c r="F41" s="850">
        <f>+F81</f>
        <v>0</v>
      </c>
      <c r="G41" s="1378"/>
      <c r="H41" s="850">
        <f>+H81</f>
        <v>0</v>
      </c>
      <c r="I41" s="1378"/>
      <c r="J41" s="1378"/>
      <c r="K41" s="1378">
        <f t="shared" si="0"/>
        <v>0</v>
      </c>
      <c r="L41" s="1268"/>
      <c r="M41" s="87"/>
      <c r="N41" s="87"/>
    </row>
    <row r="42" spans="1:14" ht="89.25">
      <c r="A42" s="198">
        <f t="shared" si="1"/>
        <v>12</v>
      </c>
      <c r="B42" s="847" t="s">
        <v>821</v>
      </c>
      <c r="C42" s="847" t="s">
        <v>822</v>
      </c>
      <c r="D42" s="848">
        <v>16474492</v>
      </c>
      <c r="E42" s="1379">
        <f>+D42</f>
        <v>16474492</v>
      </c>
      <c r="F42" s="850">
        <f>+F82</f>
        <v>0</v>
      </c>
      <c r="G42" s="1378"/>
      <c r="H42" s="850">
        <f>+H82</f>
        <v>0</v>
      </c>
      <c r="I42" s="1378"/>
      <c r="J42" s="1378"/>
      <c r="K42" s="1378">
        <f t="shared" si="0"/>
        <v>0</v>
      </c>
      <c r="L42" s="1268" t="s">
        <v>1013</v>
      </c>
      <c r="M42" s="87"/>
      <c r="N42" s="87"/>
    </row>
    <row r="43" spans="1:14" ht="25.5">
      <c r="A43" s="198">
        <f t="shared" si="1"/>
        <v>13</v>
      </c>
      <c r="B43" s="847" t="s">
        <v>823</v>
      </c>
      <c r="C43" s="847" t="s">
        <v>1072</v>
      </c>
      <c r="D43" s="848">
        <v>129133</v>
      </c>
      <c r="E43" s="1378">
        <f>+D43</f>
        <v>129133</v>
      </c>
      <c r="F43" s="850">
        <f>+F83</f>
        <v>0</v>
      </c>
      <c r="G43" s="1378"/>
      <c r="H43" s="850">
        <f>+H83</f>
        <v>0</v>
      </c>
      <c r="I43" s="1378"/>
      <c r="J43" s="1378"/>
      <c r="K43" s="1378">
        <f t="shared" si="0"/>
        <v>0</v>
      </c>
      <c r="L43" s="1268" t="s">
        <v>1014</v>
      </c>
      <c r="M43" s="87"/>
      <c r="N43" s="87"/>
    </row>
    <row r="44" spans="1:14" ht="25.5">
      <c r="A44" s="198">
        <f t="shared" si="1"/>
        <v>14</v>
      </c>
      <c r="B44" s="847" t="s">
        <v>824</v>
      </c>
      <c r="C44" s="847" t="s">
        <v>825</v>
      </c>
      <c r="D44" s="848">
        <v>95630493</v>
      </c>
      <c r="E44" s="1135"/>
      <c r="F44" s="850"/>
      <c r="G44" s="1135"/>
      <c r="H44" s="282"/>
      <c r="I44" s="1135"/>
      <c r="J44" s="1135">
        <f>D44</f>
        <v>95630493</v>
      </c>
      <c r="K44" s="1378">
        <f t="shared" si="0"/>
        <v>95630493</v>
      </c>
      <c r="L44" s="1268" t="s">
        <v>1015</v>
      </c>
      <c r="M44" s="87"/>
      <c r="N44" s="87"/>
    </row>
    <row r="45" spans="1:14">
      <c r="A45" s="198">
        <f t="shared" si="1"/>
        <v>15</v>
      </c>
      <c r="B45" s="1265" t="s">
        <v>827</v>
      </c>
      <c r="C45" s="847" t="s">
        <v>826</v>
      </c>
      <c r="D45" s="848">
        <v>803600</v>
      </c>
      <c r="E45" s="1378"/>
      <c r="F45" s="850"/>
      <c r="G45" s="1378"/>
      <c r="H45" s="282"/>
      <c r="I45" s="1378">
        <f>D45</f>
        <v>803600</v>
      </c>
      <c r="J45" s="1378"/>
      <c r="K45" s="1378">
        <f t="shared" si="0"/>
        <v>803600</v>
      </c>
      <c r="L45" s="1268"/>
      <c r="M45" s="87"/>
      <c r="N45" s="87"/>
    </row>
    <row r="46" spans="1:14">
      <c r="A46" s="198">
        <f t="shared" si="1"/>
        <v>16</v>
      </c>
      <c r="B46" s="1265" t="s">
        <v>829</v>
      </c>
      <c r="C46" s="847" t="s">
        <v>828</v>
      </c>
      <c r="D46" s="848">
        <v>20087</v>
      </c>
      <c r="E46" s="1378">
        <f>D46</f>
        <v>20087</v>
      </c>
      <c r="F46" s="850"/>
      <c r="G46" s="1378"/>
      <c r="H46" s="282"/>
      <c r="I46" s="871"/>
      <c r="J46" s="871"/>
      <c r="K46" s="1378">
        <f t="shared" si="0"/>
        <v>0</v>
      </c>
      <c r="L46" s="1268"/>
      <c r="M46" s="87"/>
      <c r="N46" s="87"/>
    </row>
    <row r="47" spans="1:14" ht="25.5">
      <c r="A47" s="198">
        <f t="shared" si="1"/>
        <v>17</v>
      </c>
      <c r="B47" s="847" t="s">
        <v>831</v>
      </c>
      <c r="C47" s="847" t="s">
        <v>830</v>
      </c>
      <c r="D47" s="848">
        <v>57865</v>
      </c>
      <c r="E47" s="1378">
        <f>D47</f>
        <v>57865</v>
      </c>
      <c r="F47" s="850"/>
      <c r="G47" s="1378"/>
      <c r="H47" s="282"/>
      <c r="I47" s="1378"/>
      <c r="J47" s="1378"/>
      <c r="K47" s="1378">
        <f t="shared" si="0"/>
        <v>0</v>
      </c>
      <c r="L47" s="1268" t="s">
        <v>1016</v>
      </c>
      <c r="M47" s="87"/>
      <c r="N47" s="87"/>
    </row>
    <row r="48" spans="1:14">
      <c r="A48" s="198">
        <f t="shared" si="1"/>
        <v>18</v>
      </c>
      <c r="B48" s="854" t="s">
        <v>832</v>
      </c>
      <c r="C48" s="847" t="s">
        <v>833</v>
      </c>
      <c r="D48" s="848">
        <v>-95630493</v>
      </c>
      <c r="E48" s="1378">
        <f>+D48</f>
        <v>-95630493</v>
      </c>
      <c r="F48" s="850"/>
      <c r="G48" s="1378"/>
      <c r="H48" s="282"/>
      <c r="I48" s="872"/>
      <c r="J48" s="872"/>
      <c r="K48" s="1378">
        <f t="shared" si="0"/>
        <v>0</v>
      </c>
      <c r="L48" s="1268" t="s">
        <v>1018</v>
      </c>
      <c r="M48" s="87"/>
      <c r="N48" s="87"/>
    </row>
    <row r="49" spans="1:14" ht="25.5">
      <c r="A49" s="198">
        <f t="shared" si="1"/>
        <v>19</v>
      </c>
      <c r="B49" s="854">
        <v>1650016</v>
      </c>
      <c r="C49" s="847" t="s">
        <v>1017</v>
      </c>
      <c r="D49" s="848">
        <v>0</v>
      </c>
      <c r="E49" s="1378">
        <f>+D49</f>
        <v>0</v>
      </c>
      <c r="F49" s="850"/>
      <c r="G49" s="1378"/>
      <c r="H49" s="282"/>
      <c r="I49" s="1378"/>
      <c r="J49" s="1378"/>
      <c r="K49" s="1378">
        <f t="shared" si="0"/>
        <v>0</v>
      </c>
      <c r="L49" s="1268" t="s">
        <v>1019</v>
      </c>
      <c r="M49" s="87"/>
      <c r="N49" s="87"/>
    </row>
    <row r="50" spans="1:14">
      <c r="A50" s="198">
        <f t="shared" si="1"/>
        <v>20</v>
      </c>
      <c r="B50" s="854">
        <v>1650017</v>
      </c>
      <c r="C50" s="847" t="s">
        <v>834</v>
      </c>
      <c r="D50" s="848">
        <v>9075000</v>
      </c>
      <c r="E50" s="1378">
        <f>+D50</f>
        <v>9075000</v>
      </c>
      <c r="F50" s="850"/>
      <c r="G50" s="1378"/>
      <c r="H50" s="282"/>
      <c r="I50" s="1378"/>
      <c r="J50" s="1378"/>
      <c r="K50" s="1378">
        <f t="shared" si="0"/>
        <v>0</v>
      </c>
      <c r="L50" s="855"/>
      <c r="M50" s="87"/>
      <c r="N50" s="87"/>
    </row>
    <row r="51" spans="1:14">
      <c r="A51" s="198">
        <f t="shared" si="1"/>
        <v>21</v>
      </c>
      <c r="B51" s="854">
        <v>1650021</v>
      </c>
      <c r="C51" s="847" t="s">
        <v>835</v>
      </c>
      <c r="D51" s="848">
        <v>980734</v>
      </c>
      <c r="E51" s="1378"/>
      <c r="F51" s="850"/>
      <c r="G51" s="1378"/>
      <c r="H51" s="282"/>
      <c r="I51" s="1267">
        <v>353783</v>
      </c>
      <c r="J51" s="1267">
        <v>626951</v>
      </c>
      <c r="K51" s="1378">
        <f t="shared" si="0"/>
        <v>980734</v>
      </c>
      <c r="L51" s="855"/>
      <c r="M51" s="87"/>
      <c r="N51" s="87"/>
    </row>
    <row r="52" spans="1:14">
      <c r="A52" s="198">
        <f t="shared" si="1"/>
        <v>22</v>
      </c>
      <c r="B52" s="854">
        <v>1650023</v>
      </c>
      <c r="C52" s="847" t="s">
        <v>1020</v>
      </c>
      <c r="D52" s="848">
        <v>199884</v>
      </c>
      <c r="E52" s="1378">
        <f>D52</f>
        <v>199884</v>
      </c>
      <c r="F52" s="850"/>
      <c r="G52" s="1378"/>
      <c r="H52" s="282"/>
      <c r="I52" s="1378"/>
      <c r="J52" s="1378"/>
      <c r="K52" s="1378">
        <f t="shared" si="0"/>
        <v>0</v>
      </c>
      <c r="L52" s="855"/>
      <c r="M52" s="87"/>
      <c r="N52" s="87"/>
    </row>
    <row r="53" spans="1:14">
      <c r="A53" s="198">
        <f t="shared" si="1"/>
        <v>23</v>
      </c>
      <c r="B53" s="854">
        <v>1650029</v>
      </c>
      <c r="C53" s="847" t="s">
        <v>1074</v>
      </c>
      <c r="D53" s="848">
        <v>300000</v>
      </c>
      <c r="E53" s="1378">
        <f>D53</f>
        <v>300000</v>
      </c>
      <c r="F53" s="850"/>
      <c r="G53" s="1378"/>
      <c r="H53" s="282"/>
      <c r="I53" s="1378"/>
      <c r="J53" s="1378"/>
      <c r="K53" s="1378">
        <f t="shared" si="0"/>
        <v>0</v>
      </c>
      <c r="L53" s="855"/>
      <c r="M53" s="87"/>
      <c r="N53" s="87"/>
    </row>
    <row r="54" spans="1:14">
      <c r="A54" s="198">
        <f t="shared" si="1"/>
        <v>24</v>
      </c>
      <c r="B54" s="854">
        <v>1650030</v>
      </c>
      <c r="C54" s="847" t="s">
        <v>836</v>
      </c>
      <c r="D54" s="848">
        <v>0</v>
      </c>
      <c r="E54" s="1378">
        <f>D54</f>
        <v>0</v>
      </c>
      <c r="F54" s="850"/>
      <c r="G54" s="1378"/>
      <c r="H54" s="282"/>
      <c r="I54" s="1378"/>
      <c r="J54" s="1378"/>
      <c r="K54" s="1378">
        <f t="shared" si="0"/>
        <v>0</v>
      </c>
      <c r="L54" s="855"/>
      <c r="M54" s="87"/>
      <c r="N54" s="87"/>
    </row>
    <row r="55" spans="1:14">
      <c r="A55" s="198">
        <f t="shared" si="1"/>
        <v>25</v>
      </c>
      <c r="B55" s="854">
        <v>1650031</v>
      </c>
      <c r="C55" s="847" t="s">
        <v>837</v>
      </c>
      <c r="D55" s="848">
        <v>0</v>
      </c>
      <c r="E55" s="1378"/>
      <c r="F55" s="850"/>
      <c r="G55" s="1378"/>
      <c r="H55" s="282"/>
      <c r="I55" s="1378"/>
      <c r="J55" s="1135"/>
      <c r="K55" s="1378">
        <f t="shared" si="0"/>
        <v>0</v>
      </c>
      <c r="L55" s="855"/>
      <c r="M55" s="87"/>
      <c r="N55" s="87"/>
    </row>
    <row r="56" spans="1:14">
      <c r="A56" s="198">
        <f t="shared" si="1"/>
        <v>26</v>
      </c>
      <c r="B56" s="854">
        <v>1650032</v>
      </c>
      <c r="C56" s="847" t="s">
        <v>1021</v>
      </c>
      <c r="D56" s="848">
        <v>0</v>
      </c>
      <c r="E56" s="1378"/>
      <c r="F56" s="850"/>
      <c r="G56" s="1378"/>
      <c r="H56" s="282"/>
      <c r="I56" s="1378"/>
      <c r="J56" s="1135"/>
      <c r="K56" s="1378">
        <f t="shared" si="0"/>
        <v>0</v>
      </c>
      <c r="L56" s="855"/>
      <c r="M56" s="87"/>
      <c r="N56" s="87"/>
    </row>
    <row r="57" spans="1:14">
      <c r="A57" s="198">
        <f t="shared" si="1"/>
        <v>27</v>
      </c>
      <c r="B57" s="854">
        <v>1650033</v>
      </c>
      <c r="C57" s="847" t="s">
        <v>1022</v>
      </c>
      <c r="D57" s="848">
        <v>0</v>
      </c>
      <c r="E57" s="1378"/>
      <c r="F57" s="850"/>
      <c r="G57" s="1378"/>
      <c r="H57" s="282"/>
      <c r="I57" s="1378"/>
      <c r="J57" s="1135"/>
      <c r="K57" s="1378">
        <f t="shared" si="0"/>
        <v>0</v>
      </c>
      <c r="L57" s="855"/>
      <c r="M57" s="87"/>
      <c r="N57" s="87"/>
    </row>
    <row r="58" spans="1:14">
      <c r="A58" s="198">
        <f t="shared" si="1"/>
        <v>28</v>
      </c>
      <c r="B58" s="854">
        <v>1650034</v>
      </c>
      <c r="C58" s="847" t="s">
        <v>1023</v>
      </c>
      <c r="D58" s="848">
        <v>0</v>
      </c>
      <c r="E58" s="1378"/>
      <c r="F58" s="850"/>
      <c r="G58" s="1378"/>
      <c r="H58" s="282"/>
      <c r="I58" s="1378"/>
      <c r="J58" s="1135"/>
      <c r="K58" s="1378">
        <f t="shared" si="0"/>
        <v>0</v>
      </c>
      <c r="L58" s="855"/>
      <c r="M58" s="87"/>
      <c r="N58" s="87"/>
    </row>
    <row r="59" spans="1:14">
      <c r="A59" s="198">
        <f t="shared" si="1"/>
        <v>29</v>
      </c>
      <c r="B59" s="854">
        <v>1650035</v>
      </c>
      <c r="C59" s="847" t="s">
        <v>838</v>
      </c>
      <c r="D59" s="848">
        <v>23527840</v>
      </c>
      <c r="E59" s="1378">
        <f>+D59</f>
        <v>23527840</v>
      </c>
      <c r="F59" s="850"/>
      <c r="G59" s="1378"/>
      <c r="H59" s="282"/>
      <c r="I59" s="1378"/>
      <c r="J59" s="1135"/>
      <c r="K59" s="1378"/>
      <c r="L59" s="855"/>
      <c r="M59" s="87"/>
      <c r="N59" s="87"/>
    </row>
    <row r="60" spans="1:14">
      <c r="A60" s="198">
        <f t="shared" si="1"/>
        <v>30</v>
      </c>
      <c r="B60" s="854">
        <v>1650036</v>
      </c>
      <c r="C60" s="847" t="s">
        <v>839</v>
      </c>
      <c r="D60" s="848">
        <v>0</v>
      </c>
      <c r="E60" s="1378"/>
      <c r="F60" s="850"/>
      <c r="G60" s="1378"/>
      <c r="H60" s="282"/>
      <c r="I60" s="1378"/>
      <c r="J60" s="1135"/>
      <c r="K60" s="1378">
        <f t="shared" si="0"/>
        <v>0</v>
      </c>
      <c r="L60" s="855"/>
      <c r="M60" s="87"/>
      <c r="N60" s="87"/>
    </row>
    <row r="61" spans="1:14">
      <c r="A61" s="198">
        <f t="shared" si="1"/>
        <v>31</v>
      </c>
      <c r="B61" s="854">
        <v>1650037</v>
      </c>
      <c r="C61" s="847" t="s">
        <v>1024</v>
      </c>
      <c r="D61" s="848">
        <v>-23527840</v>
      </c>
      <c r="E61" s="1378">
        <f>D61</f>
        <v>-23527840</v>
      </c>
      <c r="F61" s="850"/>
      <c r="G61" s="1378"/>
      <c r="H61" s="282"/>
      <c r="I61" s="1378"/>
      <c r="J61" s="1135"/>
      <c r="K61" s="1378">
        <f t="shared" si="0"/>
        <v>0</v>
      </c>
      <c r="L61" s="855"/>
      <c r="M61" s="87"/>
      <c r="N61" s="87"/>
    </row>
    <row r="62" spans="1:14">
      <c r="A62" s="198">
        <f t="shared" si="1"/>
        <v>32</v>
      </c>
      <c r="B62" s="854"/>
      <c r="C62" s="847"/>
      <c r="D62" s="848"/>
      <c r="E62" s="1378"/>
      <c r="F62" s="850">
        <f t="shared" ref="F62:F69" si="2">+F102</f>
        <v>0</v>
      </c>
      <c r="G62" s="1378"/>
      <c r="H62" s="850">
        <f t="shared" ref="H62:H69" si="3">+H102</f>
        <v>0</v>
      </c>
      <c r="I62" s="1378"/>
      <c r="J62" s="1135"/>
      <c r="K62" s="1135">
        <f t="shared" si="0"/>
        <v>0</v>
      </c>
      <c r="L62" s="855"/>
      <c r="M62" s="87"/>
      <c r="N62" s="87"/>
    </row>
    <row r="63" spans="1:14">
      <c r="A63" s="198">
        <f t="shared" si="1"/>
        <v>33</v>
      </c>
      <c r="B63" s="854"/>
      <c r="C63" s="847"/>
      <c r="D63" s="848"/>
      <c r="E63" s="1378"/>
      <c r="F63" s="850">
        <f t="shared" si="2"/>
        <v>0</v>
      </c>
      <c r="G63" s="1378"/>
      <c r="H63" s="850">
        <f t="shared" si="3"/>
        <v>0</v>
      </c>
      <c r="I63" s="1378"/>
      <c r="J63" s="1135"/>
      <c r="K63" s="1135">
        <f t="shared" si="0"/>
        <v>0</v>
      </c>
      <c r="L63" s="855"/>
      <c r="M63" s="87"/>
      <c r="N63" s="87"/>
    </row>
    <row r="64" spans="1:14">
      <c r="A64" s="198">
        <f t="shared" si="1"/>
        <v>34</v>
      </c>
      <c r="B64" s="854"/>
      <c r="C64" s="847"/>
      <c r="D64" s="848"/>
      <c r="E64" s="1378"/>
      <c r="F64" s="850">
        <f t="shared" si="2"/>
        <v>0</v>
      </c>
      <c r="G64" s="1378"/>
      <c r="H64" s="850">
        <f t="shared" si="3"/>
        <v>0</v>
      </c>
      <c r="I64" s="1378"/>
      <c r="J64" s="1135"/>
      <c r="K64" s="1135">
        <f t="shared" si="0"/>
        <v>0</v>
      </c>
      <c r="L64" s="855"/>
      <c r="M64" s="87"/>
      <c r="N64" s="87"/>
    </row>
    <row r="65" spans="1:15">
      <c r="A65" s="198">
        <f t="shared" si="1"/>
        <v>35</v>
      </c>
      <c r="B65" s="854"/>
      <c r="C65" s="847"/>
      <c r="D65" s="848"/>
      <c r="E65" s="1378"/>
      <c r="F65" s="850">
        <f t="shared" si="2"/>
        <v>0</v>
      </c>
      <c r="G65" s="1378"/>
      <c r="H65" s="850">
        <f t="shared" si="3"/>
        <v>0</v>
      </c>
      <c r="I65" s="1378"/>
      <c r="J65" s="1135"/>
      <c r="K65" s="1135">
        <f t="shared" si="0"/>
        <v>0</v>
      </c>
      <c r="L65" s="855"/>
      <c r="M65" s="87"/>
      <c r="N65" s="87"/>
    </row>
    <row r="66" spans="1:15">
      <c r="A66" s="198">
        <f t="shared" si="1"/>
        <v>36</v>
      </c>
      <c r="B66" s="854"/>
      <c r="C66" s="847"/>
      <c r="D66" s="848"/>
      <c r="E66" s="1378"/>
      <c r="F66" s="850">
        <f t="shared" si="2"/>
        <v>0</v>
      </c>
      <c r="G66" s="1378"/>
      <c r="H66" s="850">
        <f t="shared" si="3"/>
        <v>0</v>
      </c>
      <c r="I66" s="1378"/>
      <c r="J66" s="1135"/>
      <c r="K66" s="1135">
        <f t="shared" si="0"/>
        <v>0</v>
      </c>
      <c r="L66" s="855"/>
      <c r="M66" s="87"/>
      <c r="N66" s="87"/>
    </row>
    <row r="67" spans="1:15" ht="14.25" customHeight="1">
      <c r="A67" s="198">
        <f t="shared" si="1"/>
        <v>37</v>
      </c>
      <c r="B67" s="856"/>
      <c r="C67" s="857"/>
      <c r="D67" s="858"/>
      <c r="E67" s="1136"/>
      <c r="F67" s="1136">
        <f t="shared" si="2"/>
        <v>0</v>
      </c>
      <c r="G67" s="1136"/>
      <c r="H67" s="1136">
        <f t="shared" si="3"/>
        <v>0</v>
      </c>
      <c r="I67" s="1136"/>
      <c r="J67" s="1136"/>
      <c r="K67" s="780">
        <f t="shared" si="0"/>
        <v>0</v>
      </c>
      <c r="L67" s="855"/>
      <c r="M67" s="87"/>
      <c r="N67" s="87"/>
    </row>
    <row r="68" spans="1:15" ht="15">
      <c r="A68" s="198">
        <f t="shared" si="1"/>
        <v>38</v>
      </c>
      <c r="B68" s="856"/>
      <c r="C68" s="857"/>
      <c r="D68" s="858"/>
      <c r="E68" s="1136"/>
      <c r="F68" s="1136">
        <f t="shared" si="2"/>
        <v>0</v>
      </c>
      <c r="G68" s="1136"/>
      <c r="H68" s="1136">
        <f t="shared" si="3"/>
        <v>0</v>
      </c>
      <c r="I68" s="1136"/>
      <c r="J68" s="1136"/>
      <c r="K68" s="780">
        <f t="shared" si="0"/>
        <v>0</v>
      </c>
      <c r="L68" s="855"/>
      <c r="M68" s="87"/>
      <c r="N68" s="87"/>
    </row>
    <row r="69" spans="1:15" ht="15">
      <c r="A69" s="198">
        <f t="shared" si="1"/>
        <v>39</v>
      </c>
      <c r="B69" s="856"/>
      <c r="C69" s="857"/>
      <c r="D69" s="858"/>
      <c r="E69" s="1136"/>
      <c r="F69" s="1136">
        <f t="shared" si="2"/>
        <v>0</v>
      </c>
      <c r="G69" s="1136"/>
      <c r="H69" s="1136">
        <f t="shared" si="3"/>
        <v>0</v>
      </c>
      <c r="I69" s="1136"/>
      <c r="J69" s="1136"/>
      <c r="K69" s="780">
        <f t="shared" si="0"/>
        <v>0</v>
      </c>
      <c r="L69" s="855"/>
      <c r="M69" s="87"/>
      <c r="N69" s="87"/>
    </row>
    <row r="70" spans="1:15" ht="13.5" thickBot="1">
      <c r="A70" s="91"/>
      <c r="B70" s="859"/>
      <c r="C70" s="859"/>
      <c r="D70" s="860"/>
      <c r="E70" s="861"/>
      <c r="F70" s="862"/>
      <c r="G70" s="861"/>
      <c r="H70" s="862"/>
      <c r="I70" s="861"/>
      <c r="J70" s="861"/>
      <c r="K70" s="861"/>
      <c r="L70" s="498"/>
      <c r="M70" s="87"/>
      <c r="N70" s="87"/>
    </row>
    <row r="71" spans="1:15">
      <c r="A71" s="91">
        <f>A69+1</f>
        <v>40</v>
      </c>
      <c r="B71" s="1351"/>
      <c r="C71" s="1290" t="s">
        <v>210</v>
      </c>
      <c r="D71" s="333">
        <f>SUM(D39:D70)</f>
        <v>29418343</v>
      </c>
      <c r="E71" s="280">
        <f>SUM(E39:E70)</f>
        <v>-69374032</v>
      </c>
      <c r="F71" s="282"/>
      <c r="G71" s="280">
        <f>SUM(G39:G70)</f>
        <v>0</v>
      </c>
      <c r="H71" s="282"/>
      <c r="I71" s="280">
        <f>SUM(I39:I70)</f>
        <v>1781959</v>
      </c>
      <c r="J71" s="280">
        <f>SUM(J39:J70)</f>
        <v>97010416</v>
      </c>
      <c r="K71" s="280">
        <f>SUM(K39:K70)</f>
        <v>98792375</v>
      </c>
      <c r="L71" s="38"/>
      <c r="M71" s="87"/>
      <c r="N71" s="87"/>
    </row>
    <row r="72" spans="1:15">
      <c r="A72" s="91"/>
      <c r="B72" s="1351"/>
      <c r="C72" s="1290"/>
      <c r="D72" s="376"/>
      <c r="E72" s="287"/>
      <c r="F72" s="282"/>
      <c r="G72" s="287"/>
      <c r="H72" s="282"/>
      <c r="I72" s="287"/>
      <c r="J72" s="287"/>
      <c r="K72" s="287"/>
      <c r="L72" s="38"/>
      <c r="M72" s="87"/>
      <c r="N72" s="87"/>
    </row>
    <row r="73" spans="1:15" ht="18">
      <c r="A73" s="91"/>
      <c r="B73" s="1350"/>
      <c r="C73" s="289"/>
      <c r="D73" s="329"/>
      <c r="E73" s="289"/>
      <c r="F73" s="289"/>
      <c r="G73" s="289"/>
      <c r="H73" s="289"/>
      <c r="I73" s="289"/>
      <c r="J73" s="289"/>
      <c r="K73" s="38"/>
      <c r="L73" s="38"/>
      <c r="M73" s="38"/>
      <c r="N73" s="38"/>
      <c r="O73" s="38"/>
    </row>
    <row r="74" spans="1:15" ht="18">
      <c r="A74" s="91"/>
      <c r="B74" s="1610" t="str">
        <f>"Prepayments Account 165 - Balance @ 12/31/"&amp;D76&amp;""</f>
        <v>Prepayments Account 165 - Balance @ 12/31/2018</v>
      </c>
      <c r="C74" s="1576"/>
      <c r="D74" s="1576"/>
      <c r="E74" s="1576"/>
      <c r="F74" s="1576"/>
      <c r="G74" s="1576"/>
      <c r="H74" s="1576"/>
      <c r="I74" s="1576"/>
      <c r="J74" s="1576"/>
      <c r="K74" s="95"/>
      <c r="L74" s="96"/>
      <c r="M74" s="87"/>
      <c r="N74" s="38"/>
      <c r="O74" s="38"/>
    </row>
    <row r="75" spans="1:15">
      <c r="A75" s="91"/>
      <c r="B75" s="1351"/>
      <c r="C75" s="1286"/>
      <c r="D75" s="1352"/>
      <c r="E75" s="1283"/>
      <c r="G75" s="1283" t="s">
        <v>269</v>
      </c>
      <c r="I75" s="1281"/>
      <c r="J75" s="1281"/>
      <c r="K75" s="1281" t="s">
        <v>354</v>
      </c>
      <c r="L75" s="38"/>
      <c r="M75" s="87"/>
      <c r="N75" s="38"/>
      <c r="O75" s="38"/>
    </row>
    <row r="76" spans="1:15">
      <c r="A76" s="91"/>
      <c r="B76" s="1351"/>
      <c r="C76" s="1353"/>
      <c r="D76" s="112">
        <f>+D36-1</f>
        <v>2018</v>
      </c>
      <c r="E76" s="1281" t="s">
        <v>231</v>
      </c>
      <c r="G76" s="1281" t="s">
        <v>292</v>
      </c>
      <c r="I76" s="1281" t="s">
        <v>225</v>
      </c>
      <c r="J76" s="1281" t="s">
        <v>337</v>
      </c>
      <c r="K76" s="1281" t="s">
        <v>382</v>
      </c>
      <c r="L76" s="38"/>
      <c r="M76" s="87"/>
      <c r="N76" s="38"/>
      <c r="O76" s="38"/>
    </row>
    <row r="77" spans="1:15">
      <c r="A77" s="91">
        <f>+A71+1</f>
        <v>41</v>
      </c>
      <c r="B77" s="1284" t="s">
        <v>272</v>
      </c>
      <c r="C77" s="1284" t="s">
        <v>343</v>
      </c>
      <c r="D77" s="1284" t="s">
        <v>270</v>
      </c>
      <c r="E77" s="1284" t="s">
        <v>209</v>
      </c>
      <c r="G77" s="1284" t="s">
        <v>226</v>
      </c>
      <c r="I77" s="1284" t="s">
        <v>226</v>
      </c>
      <c r="J77" s="1284" t="s">
        <v>226</v>
      </c>
      <c r="K77" s="1284" t="s">
        <v>227</v>
      </c>
      <c r="L77" s="1284" t="s">
        <v>254</v>
      </c>
      <c r="M77" s="87"/>
      <c r="N77" s="38"/>
      <c r="O77" s="38"/>
    </row>
    <row r="78" spans="1:15">
      <c r="A78" s="91"/>
      <c r="B78" s="1351"/>
      <c r="C78" s="1286"/>
      <c r="D78" s="1286"/>
      <c r="E78" s="1286"/>
      <c r="G78" s="1286"/>
      <c r="I78" s="1286"/>
      <c r="J78" s="1286"/>
      <c r="K78" s="1286"/>
      <c r="L78" s="38"/>
      <c r="M78" s="87"/>
      <c r="N78" s="38"/>
      <c r="O78" s="38"/>
    </row>
    <row r="79" spans="1:15" ht="51">
      <c r="A79" s="91">
        <f>+A77+1</f>
        <v>42</v>
      </c>
      <c r="B79" s="1375" t="s">
        <v>817</v>
      </c>
      <c r="C79" s="847" t="s">
        <v>818</v>
      </c>
      <c r="D79" s="848">
        <v>1377548</v>
      </c>
      <c r="E79" s="1379"/>
      <c r="F79" s="850"/>
      <c r="G79" s="1378"/>
      <c r="H79" s="282"/>
      <c r="I79" s="1267">
        <v>624576</v>
      </c>
      <c r="J79" s="1267">
        <v>752972</v>
      </c>
      <c r="K79" s="1378">
        <f>+G79+I79+J79</f>
        <v>1377548</v>
      </c>
      <c r="L79" s="1268" t="s">
        <v>1070</v>
      </c>
      <c r="M79" s="87"/>
      <c r="N79" s="38"/>
      <c r="O79" s="38"/>
    </row>
    <row r="80" spans="1:15">
      <c r="A80" s="91">
        <f t="shared" ref="A80:A110" si="4">+A79+1</f>
        <v>43</v>
      </c>
      <c r="B80" s="1375" t="s">
        <v>1011</v>
      </c>
      <c r="C80" s="847" t="s">
        <v>1012</v>
      </c>
      <c r="D80" s="848">
        <v>0</v>
      </c>
      <c r="E80" s="1379"/>
      <c r="F80" s="850"/>
      <c r="G80" s="1378"/>
      <c r="H80" s="282"/>
      <c r="I80" s="1378">
        <f>D80</f>
        <v>0</v>
      </c>
      <c r="J80" s="1378"/>
      <c r="K80" s="1378">
        <f t="shared" ref="K80:K101" si="5">+G80+I80+J80</f>
        <v>0</v>
      </c>
      <c r="L80" s="1371"/>
      <c r="M80" s="87"/>
      <c r="N80" s="38"/>
      <c r="O80" s="38"/>
    </row>
    <row r="81" spans="1:15">
      <c r="A81" s="91">
        <f t="shared" si="4"/>
        <v>44</v>
      </c>
      <c r="B81" s="1376" t="s">
        <v>819</v>
      </c>
      <c r="C81" s="847" t="s">
        <v>820</v>
      </c>
      <c r="D81" s="848">
        <v>0</v>
      </c>
      <c r="E81" s="1379">
        <f>+D81</f>
        <v>0</v>
      </c>
      <c r="F81" s="850"/>
      <c r="G81" s="1378"/>
      <c r="H81" s="282"/>
      <c r="I81" s="1378"/>
      <c r="J81" s="1378"/>
      <c r="K81" s="1378">
        <f t="shared" si="5"/>
        <v>0</v>
      </c>
      <c r="L81" s="1371"/>
      <c r="M81" s="87"/>
      <c r="N81" s="38"/>
      <c r="O81" s="38"/>
    </row>
    <row r="82" spans="1:15" ht="51">
      <c r="A82" s="91">
        <f t="shared" si="4"/>
        <v>45</v>
      </c>
      <c r="B82" s="1375" t="s">
        <v>821</v>
      </c>
      <c r="C82" s="847" t="s">
        <v>822</v>
      </c>
      <c r="D82" s="848">
        <v>16474492</v>
      </c>
      <c r="E82" s="1379">
        <f>+D82</f>
        <v>16474492</v>
      </c>
      <c r="F82" s="850"/>
      <c r="G82" s="1378"/>
      <c r="H82" s="282"/>
      <c r="I82" s="1378"/>
      <c r="J82" s="1378"/>
      <c r="K82" s="1378">
        <f t="shared" si="5"/>
        <v>0</v>
      </c>
      <c r="L82" s="1268" t="s">
        <v>1071</v>
      </c>
      <c r="M82" s="87"/>
      <c r="N82" s="38"/>
      <c r="O82" s="38"/>
    </row>
    <row r="83" spans="1:15">
      <c r="A83" s="91">
        <f t="shared" si="4"/>
        <v>46</v>
      </c>
      <c r="B83" s="1375" t="s">
        <v>823</v>
      </c>
      <c r="C83" s="847" t="s">
        <v>1072</v>
      </c>
      <c r="D83" s="848">
        <v>129133</v>
      </c>
      <c r="E83" s="1378">
        <f>D83</f>
        <v>129133</v>
      </c>
      <c r="F83" s="850"/>
      <c r="G83" s="1378"/>
      <c r="H83" s="282"/>
      <c r="I83" s="1378"/>
      <c r="J83" s="1378"/>
      <c r="K83" s="1378">
        <f t="shared" si="5"/>
        <v>0</v>
      </c>
      <c r="L83" s="1372"/>
      <c r="M83" s="87"/>
      <c r="N83" s="38"/>
      <c r="O83" s="38"/>
    </row>
    <row r="84" spans="1:15" ht="25.5">
      <c r="A84" s="91">
        <f t="shared" si="4"/>
        <v>47</v>
      </c>
      <c r="B84" s="1375" t="s">
        <v>824</v>
      </c>
      <c r="C84" s="847" t="s">
        <v>825</v>
      </c>
      <c r="D84" s="848">
        <v>95630493</v>
      </c>
      <c r="E84" s="1135"/>
      <c r="F84" s="850"/>
      <c r="G84" s="1135"/>
      <c r="H84" s="282"/>
      <c r="I84" s="1135"/>
      <c r="J84" s="1135">
        <f>D84</f>
        <v>95630493</v>
      </c>
      <c r="K84" s="1378">
        <f t="shared" si="5"/>
        <v>95630493</v>
      </c>
      <c r="L84" s="1268" t="s">
        <v>1015</v>
      </c>
      <c r="M84" s="87"/>
      <c r="N84" s="38"/>
      <c r="O84" s="38"/>
    </row>
    <row r="85" spans="1:15">
      <c r="A85" s="91">
        <f t="shared" si="4"/>
        <v>48</v>
      </c>
      <c r="B85" s="1376" t="s">
        <v>827</v>
      </c>
      <c r="C85" s="847" t="s">
        <v>826</v>
      </c>
      <c r="D85" s="848">
        <v>803600</v>
      </c>
      <c r="E85" s="1378"/>
      <c r="F85" s="850"/>
      <c r="G85" s="1378"/>
      <c r="H85" s="282"/>
      <c r="I85" s="1378">
        <f>D85</f>
        <v>803600</v>
      </c>
      <c r="J85" s="1378"/>
      <c r="K85" s="1378">
        <f t="shared" si="5"/>
        <v>803600</v>
      </c>
      <c r="L85" s="1372"/>
      <c r="M85" s="87"/>
      <c r="N85" s="38"/>
      <c r="O85" s="38"/>
    </row>
    <row r="86" spans="1:15">
      <c r="A86" s="91">
        <f t="shared" si="4"/>
        <v>49</v>
      </c>
      <c r="B86" s="1376" t="s">
        <v>829</v>
      </c>
      <c r="C86" s="847" t="s">
        <v>828</v>
      </c>
      <c r="D86" s="848">
        <v>20087</v>
      </c>
      <c r="E86" s="1378">
        <f>D86</f>
        <v>20087</v>
      </c>
      <c r="F86" s="850"/>
      <c r="G86" s="1378"/>
      <c r="H86" s="282"/>
      <c r="I86" s="871"/>
      <c r="J86" s="871"/>
      <c r="K86" s="1378">
        <f t="shared" si="5"/>
        <v>0</v>
      </c>
      <c r="L86" s="1372"/>
      <c r="M86" s="87"/>
      <c r="N86" s="38"/>
      <c r="O86" s="38"/>
    </row>
    <row r="87" spans="1:15">
      <c r="A87" s="91">
        <f t="shared" si="4"/>
        <v>50</v>
      </c>
      <c r="B87" s="1376" t="s">
        <v>831</v>
      </c>
      <c r="C87" s="847" t="s">
        <v>830</v>
      </c>
      <c r="D87" s="848">
        <v>57865</v>
      </c>
      <c r="E87" s="1378">
        <f>D87</f>
        <v>57865</v>
      </c>
      <c r="F87" s="850"/>
      <c r="G87" s="1378"/>
      <c r="H87" s="282"/>
      <c r="I87" s="1378"/>
      <c r="J87" s="1378"/>
      <c r="K87" s="1378">
        <f t="shared" si="5"/>
        <v>0</v>
      </c>
      <c r="L87" s="1372"/>
      <c r="M87" s="87"/>
      <c r="N87" s="38"/>
      <c r="O87" s="38"/>
    </row>
    <row r="88" spans="1:15">
      <c r="A88" s="91">
        <f t="shared" si="4"/>
        <v>51</v>
      </c>
      <c r="B88" s="847" t="s">
        <v>832</v>
      </c>
      <c r="C88" s="847" t="s">
        <v>833</v>
      </c>
      <c r="D88" s="848">
        <v>-95630493</v>
      </c>
      <c r="E88" s="1378">
        <f>+D88</f>
        <v>-95630493</v>
      </c>
      <c r="F88" s="850"/>
      <c r="G88" s="1378"/>
      <c r="H88" s="282"/>
      <c r="I88" s="872"/>
      <c r="J88" s="872"/>
      <c r="K88" s="1378">
        <f t="shared" si="5"/>
        <v>0</v>
      </c>
      <c r="L88" s="1372"/>
      <c r="M88" s="87"/>
      <c r="N88" s="38"/>
      <c r="O88" s="38"/>
    </row>
    <row r="89" spans="1:15">
      <c r="A89" s="91">
        <f t="shared" si="4"/>
        <v>52</v>
      </c>
      <c r="B89" s="1370">
        <v>1650016</v>
      </c>
      <c r="C89" s="847" t="s">
        <v>1017</v>
      </c>
      <c r="D89" s="848">
        <v>0</v>
      </c>
      <c r="E89" s="1378">
        <f>+D89</f>
        <v>0</v>
      </c>
      <c r="F89" s="850"/>
      <c r="G89" s="1378"/>
      <c r="H89" s="282"/>
      <c r="I89" s="1378"/>
      <c r="J89" s="1378"/>
      <c r="K89" s="1378">
        <f t="shared" si="5"/>
        <v>0</v>
      </c>
      <c r="L89" s="1268" t="s">
        <v>1018</v>
      </c>
      <c r="M89" s="87"/>
      <c r="N89" s="38"/>
      <c r="O89" s="38"/>
    </row>
    <row r="90" spans="1:15">
      <c r="A90" s="91">
        <f t="shared" si="4"/>
        <v>53</v>
      </c>
      <c r="B90" s="1370">
        <v>1650017</v>
      </c>
      <c r="C90" s="847" t="s">
        <v>834</v>
      </c>
      <c r="D90" s="848">
        <v>9075000</v>
      </c>
      <c r="E90" s="1378">
        <f>+D90</f>
        <v>9075000</v>
      </c>
      <c r="F90" s="850"/>
      <c r="G90" s="1378"/>
      <c r="H90" s="282"/>
      <c r="I90" s="1378"/>
      <c r="J90" s="1378"/>
      <c r="K90" s="1378">
        <f t="shared" si="5"/>
        <v>0</v>
      </c>
      <c r="L90" s="1268"/>
      <c r="M90" s="87"/>
      <c r="N90" s="38"/>
      <c r="O90" s="38"/>
    </row>
    <row r="91" spans="1:15" ht="24">
      <c r="A91" s="91">
        <f t="shared" si="4"/>
        <v>54</v>
      </c>
      <c r="B91" s="1370">
        <v>1650021</v>
      </c>
      <c r="C91" s="847" t="s">
        <v>835</v>
      </c>
      <c r="D91" s="848">
        <v>980734</v>
      </c>
      <c r="E91" s="1378"/>
      <c r="F91" s="850"/>
      <c r="G91" s="1378"/>
      <c r="H91" s="282"/>
      <c r="I91" s="1267">
        <v>353783</v>
      </c>
      <c r="J91" s="1267">
        <v>626951</v>
      </c>
      <c r="K91" s="1378">
        <f t="shared" si="5"/>
        <v>980734</v>
      </c>
      <c r="L91" s="873" t="s">
        <v>1073</v>
      </c>
      <c r="M91" s="87"/>
      <c r="N91" s="38"/>
      <c r="O91" s="38"/>
    </row>
    <row r="92" spans="1:15">
      <c r="A92" s="91">
        <f t="shared" si="4"/>
        <v>55</v>
      </c>
      <c r="B92" s="1370">
        <v>1650023</v>
      </c>
      <c r="C92" s="847" t="s">
        <v>1020</v>
      </c>
      <c r="D92" s="848">
        <v>199884</v>
      </c>
      <c r="E92" s="1378">
        <f>D92</f>
        <v>199884</v>
      </c>
      <c r="F92" s="850"/>
      <c r="G92" s="1378"/>
      <c r="H92" s="282"/>
      <c r="I92" s="1378"/>
      <c r="J92" s="1378"/>
      <c r="K92" s="1378">
        <f t="shared" si="5"/>
        <v>0</v>
      </c>
      <c r="L92" s="873"/>
      <c r="M92" s="87"/>
      <c r="N92" s="38"/>
      <c r="O92" s="38"/>
    </row>
    <row r="93" spans="1:15" ht="24">
      <c r="A93" s="91">
        <f t="shared" si="4"/>
        <v>56</v>
      </c>
      <c r="B93" s="1370">
        <v>1650029</v>
      </c>
      <c r="C93" s="847" t="s">
        <v>1074</v>
      </c>
      <c r="D93" s="848">
        <v>300000</v>
      </c>
      <c r="E93" s="1378">
        <f>D93</f>
        <v>300000</v>
      </c>
      <c r="F93" s="850"/>
      <c r="G93" s="1378"/>
      <c r="H93" s="282"/>
      <c r="I93" s="1378"/>
      <c r="J93" s="1378"/>
      <c r="K93" s="1378">
        <f t="shared" si="5"/>
        <v>0</v>
      </c>
      <c r="L93" s="873" t="s">
        <v>1075</v>
      </c>
      <c r="M93" s="87"/>
      <c r="N93" s="38"/>
      <c r="O93" s="38"/>
    </row>
    <row r="94" spans="1:15">
      <c r="A94" s="91">
        <f t="shared" si="4"/>
        <v>57</v>
      </c>
      <c r="B94" s="1370">
        <v>1650030</v>
      </c>
      <c r="C94" s="847" t="s">
        <v>836</v>
      </c>
      <c r="D94" s="848">
        <v>0</v>
      </c>
      <c r="E94" s="1378">
        <f>D94</f>
        <v>0</v>
      </c>
      <c r="F94" s="850"/>
      <c r="G94" s="1378"/>
      <c r="H94" s="282"/>
      <c r="I94" s="1378"/>
      <c r="J94" s="1378"/>
      <c r="K94" s="1378">
        <f t="shared" si="5"/>
        <v>0</v>
      </c>
      <c r="L94" s="873"/>
      <c r="M94" s="87"/>
      <c r="N94" s="38"/>
      <c r="O94" s="38"/>
    </row>
    <row r="95" spans="1:15">
      <c r="A95" s="91">
        <f t="shared" si="4"/>
        <v>58</v>
      </c>
      <c r="B95" s="1370">
        <v>1650031</v>
      </c>
      <c r="C95" s="847" t="s">
        <v>837</v>
      </c>
      <c r="D95" s="848">
        <v>0</v>
      </c>
      <c r="E95" s="1378"/>
      <c r="F95" s="850"/>
      <c r="G95" s="1378"/>
      <c r="H95" s="282"/>
      <c r="I95" s="1378"/>
      <c r="J95" s="1135"/>
      <c r="K95" s="1378">
        <f t="shared" si="5"/>
        <v>0</v>
      </c>
      <c r="L95" s="873"/>
      <c r="M95" s="87"/>
      <c r="N95" s="38"/>
      <c r="O95" s="38"/>
    </row>
    <row r="96" spans="1:15">
      <c r="A96" s="91">
        <f t="shared" si="4"/>
        <v>59</v>
      </c>
      <c r="B96" s="1370">
        <v>1650032</v>
      </c>
      <c r="C96" s="847" t="s">
        <v>1021</v>
      </c>
      <c r="D96" s="848">
        <v>0</v>
      </c>
      <c r="E96" s="1378"/>
      <c r="F96" s="850"/>
      <c r="G96" s="1378"/>
      <c r="H96" s="282"/>
      <c r="I96" s="1378"/>
      <c r="J96" s="1135"/>
      <c r="K96" s="1378">
        <f t="shared" si="5"/>
        <v>0</v>
      </c>
      <c r="L96" s="873"/>
      <c r="M96" s="87"/>
      <c r="N96" s="38"/>
      <c r="O96" s="38"/>
    </row>
    <row r="97" spans="1:15">
      <c r="A97" s="91">
        <f t="shared" si="4"/>
        <v>60</v>
      </c>
      <c r="B97" s="1370">
        <v>1650033</v>
      </c>
      <c r="C97" s="847" t="s">
        <v>1022</v>
      </c>
      <c r="D97" s="848">
        <v>0</v>
      </c>
      <c r="E97" s="1378"/>
      <c r="F97" s="850"/>
      <c r="G97" s="1378"/>
      <c r="H97" s="282"/>
      <c r="I97" s="1378"/>
      <c r="J97" s="1135"/>
      <c r="K97" s="1378">
        <f t="shared" si="5"/>
        <v>0</v>
      </c>
      <c r="L97" s="873"/>
      <c r="M97" s="87"/>
      <c r="N97" s="38"/>
      <c r="O97" s="38"/>
    </row>
    <row r="98" spans="1:15">
      <c r="A98" s="91">
        <f t="shared" si="4"/>
        <v>61</v>
      </c>
      <c r="B98" s="1370">
        <v>1650034</v>
      </c>
      <c r="C98" s="847" t="s">
        <v>1023</v>
      </c>
      <c r="D98" s="848">
        <v>0</v>
      </c>
      <c r="E98" s="1378"/>
      <c r="F98" s="850"/>
      <c r="G98" s="1378"/>
      <c r="H98" s="282"/>
      <c r="I98" s="1378"/>
      <c r="J98" s="1135"/>
      <c r="K98" s="1378">
        <f t="shared" si="5"/>
        <v>0</v>
      </c>
      <c r="L98" s="873"/>
      <c r="M98" s="87"/>
      <c r="N98" s="38"/>
      <c r="O98" s="38"/>
    </row>
    <row r="99" spans="1:15">
      <c r="A99" s="91">
        <f t="shared" si="4"/>
        <v>62</v>
      </c>
      <c r="B99" s="1370">
        <v>1650035</v>
      </c>
      <c r="C99" s="847" t="s">
        <v>838</v>
      </c>
      <c r="D99" s="848">
        <v>23527840</v>
      </c>
      <c r="E99" s="1378">
        <f>+D99</f>
        <v>23527840</v>
      </c>
      <c r="F99" s="850"/>
      <c r="G99" s="1378"/>
      <c r="H99" s="282"/>
      <c r="I99" s="1378"/>
      <c r="J99" s="1135"/>
      <c r="K99" s="1378">
        <f t="shared" si="5"/>
        <v>0</v>
      </c>
      <c r="L99" s="873"/>
      <c r="M99" s="87"/>
      <c r="N99" s="38"/>
      <c r="O99" s="38"/>
    </row>
    <row r="100" spans="1:15">
      <c r="A100" s="91">
        <f t="shared" si="4"/>
        <v>63</v>
      </c>
      <c r="B100" s="1370">
        <v>1650036</v>
      </c>
      <c r="C100" s="847" t="s">
        <v>839</v>
      </c>
      <c r="D100" s="848">
        <v>0</v>
      </c>
      <c r="E100" s="1378"/>
      <c r="F100" s="850"/>
      <c r="G100" s="1378"/>
      <c r="H100" s="282"/>
      <c r="I100" s="1378"/>
      <c r="J100" s="1135"/>
      <c r="K100" s="1378">
        <f t="shared" si="5"/>
        <v>0</v>
      </c>
      <c r="L100" s="873"/>
      <c r="M100" s="87"/>
      <c r="N100" s="38"/>
      <c r="O100" s="38"/>
    </row>
    <row r="101" spans="1:15">
      <c r="A101" s="91">
        <f t="shared" si="4"/>
        <v>64</v>
      </c>
      <c r="B101" s="1370">
        <v>1650037</v>
      </c>
      <c r="C101" s="847" t="s">
        <v>1024</v>
      </c>
      <c r="D101" s="848">
        <v>-23527840</v>
      </c>
      <c r="E101" s="1378">
        <f>D101</f>
        <v>-23527840</v>
      </c>
      <c r="F101" s="850"/>
      <c r="G101" s="1378"/>
      <c r="H101" s="282"/>
      <c r="I101" s="1378"/>
      <c r="J101" s="1135"/>
      <c r="K101" s="1378">
        <f t="shared" si="5"/>
        <v>0</v>
      </c>
      <c r="L101" s="873"/>
      <c r="M101" s="87"/>
      <c r="N101" s="38"/>
      <c r="O101" s="38"/>
    </row>
    <row r="102" spans="1:15" ht="15">
      <c r="A102" s="91">
        <f t="shared" si="4"/>
        <v>65</v>
      </c>
      <c r="B102" s="1137"/>
      <c r="C102" s="1137"/>
      <c r="D102" s="1138"/>
      <c r="E102" s="843"/>
      <c r="F102" s="282"/>
      <c r="G102" s="843"/>
      <c r="H102" s="282"/>
      <c r="I102" s="843"/>
      <c r="J102" s="843"/>
      <c r="K102" s="780"/>
      <c r="L102" s="873"/>
      <c r="M102" s="87"/>
      <c r="N102" s="38"/>
      <c r="O102" s="38"/>
    </row>
    <row r="103" spans="1:15" ht="15">
      <c r="A103" s="91">
        <f t="shared" si="4"/>
        <v>66</v>
      </c>
      <c r="B103" s="1137"/>
      <c r="C103" s="1137"/>
      <c r="D103" s="1138"/>
      <c r="E103" s="843"/>
      <c r="F103" s="282"/>
      <c r="G103" s="843"/>
      <c r="H103" s="282"/>
      <c r="I103" s="843"/>
      <c r="J103" s="843"/>
      <c r="K103" s="780"/>
      <c r="L103" s="873"/>
      <c r="M103" s="87"/>
      <c r="N103" s="38"/>
      <c r="O103" s="38"/>
    </row>
    <row r="104" spans="1:15" ht="15">
      <c r="A104" s="91">
        <f t="shared" si="4"/>
        <v>67</v>
      </c>
      <c r="B104" s="1137"/>
      <c r="C104" s="1137"/>
      <c r="D104" s="1138"/>
      <c r="E104" s="843"/>
      <c r="F104" s="282"/>
      <c r="G104" s="843"/>
      <c r="H104" s="282"/>
      <c r="I104" s="843"/>
      <c r="J104" s="843"/>
      <c r="K104" s="780"/>
      <c r="L104" s="873"/>
      <c r="M104" s="87"/>
      <c r="N104" s="38"/>
      <c r="O104" s="38"/>
    </row>
    <row r="105" spans="1:15" ht="15">
      <c r="A105" s="91">
        <f t="shared" si="4"/>
        <v>68</v>
      </c>
      <c r="B105" s="1137"/>
      <c r="C105" s="1137"/>
      <c r="D105" s="1138"/>
      <c r="E105" s="843"/>
      <c r="F105" s="282"/>
      <c r="G105" s="843"/>
      <c r="H105" s="282"/>
      <c r="I105" s="843"/>
      <c r="J105" s="843"/>
      <c r="K105" s="780"/>
      <c r="L105" s="873"/>
      <c r="M105" s="87"/>
      <c r="N105" s="38"/>
      <c r="O105" s="38"/>
    </row>
    <row r="106" spans="1:15" ht="15">
      <c r="A106" s="91">
        <f t="shared" si="4"/>
        <v>69</v>
      </c>
      <c r="B106" s="1137"/>
      <c r="C106" s="1137"/>
      <c r="D106" s="1138"/>
      <c r="E106" s="843"/>
      <c r="F106" s="282"/>
      <c r="G106" s="843"/>
      <c r="H106" s="282"/>
      <c r="I106" s="843"/>
      <c r="J106" s="843"/>
      <c r="K106" s="780"/>
      <c r="L106" s="873"/>
      <c r="M106" s="87"/>
      <c r="N106" s="38"/>
      <c r="O106" s="38"/>
    </row>
    <row r="107" spans="1:15" ht="15">
      <c r="A107" s="91">
        <f t="shared" si="4"/>
        <v>70</v>
      </c>
      <c r="B107" s="1137"/>
      <c r="C107" s="1137"/>
      <c r="D107" s="1138"/>
      <c r="E107" s="843"/>
      <c r="F107" s="282"/>
      <c r="G107" s="843"/>
      <c r="H107" s="282"/>
      <c r="I107" s="843"/>
      <c r="J107" s="843"/>
      <c r="K107" s="780"/>
      <c r="L107" s="873"/>
      <c r="M107" s="87"/>
      <c r="N107" s="38"/>
      <c r="O107" s="38"/>
    </row>
    <row r="108" spans="1:15" ht="15">
      <c r="A108" s="91">
        <f t="shared" si="4"/>
        <v>71</v>
      </c>
      <c r="B108" s="1137"/>
      <c r="C108" s="1137"/>
      <c r="D108" s="1138"/>
      <c r="E108"/>
      <c r="F108"/>
      <c r="G108"/>
      <c r="H108"/>
      <c r="I108"/>
      <c r="J108"/>
      <c r="K108"/>
      <c r="L108" s="873"/>
      <c r="M108" s="87"/>
      <c r="N108" s="38"/>
      <c r="O108" s="38"/>
    </row>
    <row r="109" spans="1:15" ht="15">
      <c r="A109" s="91">
        <f t="shared" si="4"/>
        <v>72</v>
      </c>
      <c r="B109" s="1137"/>
      <c r="C109" s="1137"/>
      <c r="D109" s="1138"/>
      <c r="E109"/>
      <c r="F109"/>
      <c r="G109"/>
      <c r="H109"/>
      <c r="I109"/>
      <c r="J109"/>
      <c r="K109"/>
      <c r="L109" s="873"/>
      <c r="M109" s="87"/>
      <c r="N109" s="38"/>
      <c r="O109" s="38"/>
    </row>
    <row r="110" spans="1:15" ht="15">
      <c r="A110" s="91">
        <f t="shared" si="4"/>
        <v>73</v>
      </c>
      <c r="B110" s="1137"/>
      <c r="C110" s="1137"/>
      <c r="D110" s="1138"/>
      <c r="E110"/>
      <c r="F110"/>
      <c r="G110"/>
      <c r="H110"/>
      <c r="I110"/>
      <c r="J110"/>
      <c r="K110"/>
      <c r="L110" s="873"/>
      <c r="M110" s="87"/>
      <c r="N110" s="38"/>
      <c r="O110" s="38"/>
    </row>
    <row r="111" spans="1:15" ht="13.5" thickBot="1">
      <c r="A111" s="91"/>
      <c r="B111" s="57"/>
      <c r="C111" s="278"/>
      <c r="D111" s="1122"/>
      <c r="E111" s="1122"/>
      <c r="F111" s="282"/>
      <c r="G111" s="1122"/>
      <c r="H111" s="282"/>
      <c r="I111" s="1122"/>
      <c r="J111" s="1122"/>
      <c r="K111" s="1122"/>
      <c r="L111" s="278"/>
      <c r="M111" s="87"/>
      <c r="N111" s="38"/>
      <c r="O111" s="38"/>
    </row>
    <row r="112" spans="1:15">
      <c r="A112" s="91">
        <f>+A110+1</f>
        <v>74</v>
      </c>
      <c r="B112" s="1351"/>
      <c r="C112" s="1361" t="s">
        <v>1135</v>
      </c>
      <c r="D112" s="280">
        <f>IF(SUM(D79:D111)=0,"",SUM(D79:D111))</f>
        <v>29418343</v>
      </c>
      <c r="E112" s="280">
        <f>IF(SUM(E79:E111)=0,"",SUM(E79:E111))</f>
        <v>-69374032</v>
      </c>
      <c r="F112" s="282"/>
      <c r="G112" s="280">
        <f>SUM(G72:G111)</f>
        <v>0</v>
      </c>
      <c r="H112" s="282"/>
      <c r="I112" s="280">
        <f>IF(SUM(I79:I111)=0,"",SUM(I79:I111))</f>
        <v>1781959</v>
      </c>
      <c r="J112" s="280">
        <f>SUM(J79:J111)</f>
        <v>97010416</v>
      </c>
      <c r="K112" s="280">
        <f>SUM(K79:K111)</f>
        <v>98792375</v>
      </c>
      <c r="L112" s="278"/>
      <c r="M112" s="87"/>
      <c r="N112" s="38"/>
      <c r="O112" s="38"/>
    </row>
    <row r="113" spans="1:15">
      <c r="A113" s="91"/>
      <c r="B113" s="91"/>
      <c r="C113" s="278"/>
      <c r="D113" s="376"/>
      <c r="E113" s="278"/>
      <c r="F113" s="278"/>
      <c r="G113" s="278"/>
      <c r="H113" s="278"/>
      <c r="I113" s="278"/>
      <c r="J113" s="278"/>
      <c r="K113" s="278"/>
      <c r="L113" s="278"/>
      <c r="M113" s="38"/>
      <c r="N113" s="38"/>
      <c r="O113" s="38"/>
    </row>
    <row r="114" spans="1:15">
      <c r="A114" s="38"/>
      <c r="B114" s="38"/>
      <c r="C114" s="38"/>
      <c r="D114" s="38"/>
      <c r="E114" s="38"/>
      <c r="F114" s="38"/>
      <c r="G114" s="38"/>
      <c r="H114" s="38"/>
      <c r="I114" s="172"/>
      <c r="J114" s="38"/>
      <c r="K114" s="38"/>
      <c r="L114" s="38"/>
      <c r="M114" s="38"/>
      <c r="N114" s="38"/>
      <c r="O114" s="38"/>
    </row>
    <row r="115" spans="1:15">
      <c r="A115" s="38"/>
      <c r="B115" s="38"/>
      <c r="C115" s="38"/>
      <c r="D115" s="38"/>
      <c r="E115" s="38"/>
      <c r="F115" s="38"/>
      <c r="G115" s="38"/>
      <c r="H115" s="38"/>
      <c r="I115" s="38"/>
      <c r="J115" s="38"/>
      <c r="K115" s="38"/>
      <c r="L115" s="38"/>
      <c r="M115" s="38"/>
      <c r="N115" s="38"/>
      <c r="O115" s="38"/>
    </row>
    <row r="116" spans="1:15">
      <c r="A116" s="38"/>
      <c r="B116" s="38"/>
      <c r="C116" s="38"/>
      <c r="D116" s="38"/>
      <c r="E116" s="38"/>
      <c r="F116" s="38"/>
      <c r="G116" s="38"/>
      <c r="H116" s="38"/>
      <c r="I116" s="38"/>
      <c r="J116" s="38"/>
      <c r="K116" s="38"/>
      <c r="L116" s="38"/>
      <c r="M116" s="38"/>
      <c r="N116" s="38"/>
      <c r="O116" s="38"/>
    </row>
    <row r="117" spans="1:15">
      <c r="A117" s="38"/>
      <c r="B117" s="38"/>
      <c r="C117" s="38"/>
      <c r="D117" s="38"/>
      <c r="E117" s="38"/>
      <c r="F117" s="38"/>
      <c r="G117" s="38"/>
      <c r="H117" s="38"/>
      <c r="I117" s="38"/>
      <c r="J117" s="38"/>
      <c r="K117" s="38"/>
      <c r="L117" s="38"/>
      <c r="M117" s="38"/>
      <c r="N117" s="38"/>
      <c r="O117" s="38"/>
    </row>
    <row r="118" spans="1:15">
      <c r="A118" s="38"/>
      <c r="B118" s="38"/>
      <c r="C118" s="38"/>
      <c r="D118" s="38"/>
      <c r="E118" s="38"/>
      <c r="F118" s="38"/>
      <c r="G118" s="38"/>
      <c r="H118" s="38"/>
      <c r="I118" s="38"/>
      <c r="J118" s="38"/>
      <c r="K118" s="38"/>
      <c r="L118" s="38"/>
      <c r="M118" s="38"/>
      <c r="N118" s="38"/>
      <c r="O118" s="38"/>
    </row>
    <row r="119" spans="1:15">
      <c r="A119" s="38"/>
      <c r="B119" s="38"/>
      <c r="C119" s="38"/>
      <c r="D119" s="38"/>
      <c r="E119" s="38"/>
      <c r="F119" s="38"/>
      <c r="G119" s="38"/>
      <c r="H119" s="38"/>
      <c r="I119" s="38"/>
      <c r="J119" s="38"/>
      <c r="K119" s="38"/>
      <c r="L119" s="38"/>
      <c r="M119" s="38"/>
      <c r="N119" s="38"/>
      <c r="O119" s="38"/>
    </row>
    <row r="120" spans="1:15">
      <c r="A120" s="38"/>
      <c r="B120" s="38"/>
      <c r="C120" s="38"/>
      <c r="D120" s="38"/>
      <c r="E120" s="38"/>
      <c r="F120" s="38"/>
      <c r="G120" s="38"/>
      <c r="H120" s="38"/>
      <c r="I120" s="38"/>
      <c r="J120" s="38"/>
      <c r="K120" s="38"/>
      <c r="L120" s="38"/>
      <c r="M120" s="38"/>
      <c r="N120" s="38"/>
      <c r="O120" s="38"/>
    </row>
    <row r="121" spans="1:15">
      <c r="A121" s="38"/>
      <c r="B121" s="38"/>
      <c r="C121" s="38"/>
      <c r="D121" s="38"/>
      <c r="E121" s="38"/>
      <c r="F121" s="38"/>
      <c r="G121" s="38"/>
      <c r="H121" s="38"/>
      <c r="I121" s="38"/>
      <c r="J121" s="38"/>
      <c r="K121" s="38"/>
      <c r="L121" s="38"/>
      <c r="M121" s="38"/>
      <c r="N121" s="38"/>
      <c r="O121" s="38"/>
    </row>
    <row r="122" spans="1:15">
      <c r="A122" s="38"/>
      <c r="B122" s="38"/>
      <c r="C122" s="38"/>
      <c r="D122" s="38"/>
      <c r="E122" s="38"/>
      <c r="F122" s="38"/>
      <c r="G122" s="38"/>
      <c r="H122" s="38"/>
      <c r="I122" s="38"/>
      <c r="J122" s="38"/>
      <c r="K122" s="38"/>
      <c r="L122" s="38"/>
      <c r="M122" s="38"/>
      <c r="N122" s="38"/>
      <c r="O122" s="38"/>
    </row>
    <row r="123" spans="1:15">
      <c r="A123" s="38"/>
      <c r="B123" s="38"/>
      <c r="C123" s="38"/>
      <c r="D123" s="38"/>
      <c r="E123" s="38"/>
      <c r="F123" s="38"/>
      <c r="G123" s="38"/>
      <c r="H123" s="38"/>
      <c r="I123" s="38"/>
      <c r="J123" s="38"/>
      <c r="K123" s="38"/>
      <c r="L123" s="38"/>
      <c r="M123" s="38"/>
      <c r="N123" s="38"/>
      <c r="O123" s="38"/>
    </row>
    <row r="124" spans="1:15">
      <c r="A124" s="38"/>
      <c r="B124" s="38"/>
      <c r="C124" s="38"/>
      <c r="D124" s="38"/>
      <c r="E124" s="38"/>
      <c r="F124" s="38"/>
      <c r="G124" s="38"/>
      <c r="H124" s="38"/>
      <c r="I124" s="38"/>
      <c r="J124" s="38"/>
      <c r="K124" s="38"/>
      <c r="L124" s="38"/>
      <c r="M124" s="38"/>
      <c r="N124" s="38"/>
      <c r="O124" s="38"/>
    </row>
    <row r="125" spans="1:15">
      <c r="A125" s="38"/>
      <c r="B125" s="38"/>
      <c r="C125" s="38"/>
      <c r="D125" s="38"/>
      <c r="E125" s="38"/>
      <c r="F125" s="38"/>
      <c r="G125" s="38"/>
      <c r="H125" s="38"/>
      <c r="I125" s="38"/>
      <c r="J125" s="38"/>
      <c r="K125" s="38"/>
      <c r="L125" s="38"/>
      <c r="M125" s="38"/>
      <c r="N125" s="38"/>
      <c r="O125" s="38"/>
    </row>
    <row r="126" spans="1:15">
      <c r="A126" s="38"/>
      <c r="B126" s="38"/>
      <c r="C126" s="38"/>
      <c r="D126" s="38"/>
      <c r="E126" s="38"/>
      <c r="F126" s="38"/>
      <c r="G126" s="38"/>
      <c r="H126" s="38"/>
      <c r="I126" s="38"/>
      <c r="J126" s="38"/>
      <c r="K126" s="38"/>
      <c r="L126" s="38"/>
      <c r="M126" s="38"/>
      <c r="N126" s="38"/>
      <c r="O126" s="38"/>
    </row>
    <row r="127" spans="1:15">
      <c r="A127" s="38"/>
      <c r="B127" s="38"/>
      <c r="C127" s="38"/>
      <c r="D127" s="38"/>
      <c r="E127" s="38"/>
      <c r="F127" s="38"/>
      <c r="G127" s="38"/>
      <c r="H127" s="38"/>
      <c r="I127" s="38"/>
      <c r="J127" s="38"/>
      <c r="K127" s="38"/>
      <c r="L127" s="38"/>
      <c r="M127" s="38"/>
      <c r="N127" s="38"/>
      <c r="O127" s="38"/>
    </row>
    <row r="128" spans="1:15">
      <c r="A128" s="38"/>
      <c r="B128" s="38"/>
      <c r="C128" s="38"/>
      <c r="D128" s="38"/>
      <c r="E128" s="38"/>
      <c r="F128" s="38"/>
      <c r="G128" s="38"/>
      <c r="H128" s="38"/>
      <c r="I128" s="38"/>
      <c r="J128" s="38"/>
      <c r="K128" s="38"/>
      <c r="L128" s="38"/>
      <c r="M128" s="38"/>
      <c r="N128" s="38"/>
      <c r="O128" s="38"/>
    </row>
    <row r="129" spans="1:15">
      <c r="A129" s="38"/>
      <c r="B129" s="38"/>
      <c r="C129" s="38"/>
      <c r="D129" s="38"/>
      <c r="E129" s="38"/>
      <c r="F129" s="38"/>
      <c r="G129" s="38"/>
      <c r="H129" s="38"/>
      <c r="I129" s="38"/>
      <c r="J129" s="38"/>
      <c r="K129" s="38"/>
      <c r="L129" s="38"/>
      <c r="M129" s="38"/>
      <c r="N129" s="38"/>
      <c r="O129" s="38"/>
    </row>
    <row r="130" spans="1:15">
      <c r="A130" s="38"/>
      <c r="B130" s="38"/>
      <c r="C130" s="38"/>
      <c r="D130" s="38"/>
      <c r="E130" s="38"/>
      <c r="F130" s="38"/>
      <c r="G130" s="38"/>
      <c r="H130" s="38"/>
      <c r="I130" s="38"/>
      <c r="J130" s="38"/>
      <c r="K130" s="38"/>
      <c r="L130" s="38"/>
      <c r="M130" s="38"/>
      <c r="N130" s="38"/>
      <c r="O130" s="38"/>
    </row>
    <row r="131" spans="1:15">
      <c r="A131" s="38"/>
      <c r="B131" s="38"/>
      <c r="C131" s="38"/>
      <c r="D131" s="38"/>
      <c r="E131" s="38"/>
      <c r="F131" s="38"/>
      <c r="G131" s="38"/>
      <c r="H131" s="38"/>
      <c r="I131" s="38"/>
      <c r="J131" s="38"/>
      <c r="K131" s="38"/>
      <c r="L131" s="38"/>
      <c r="M131" s="38"/>
      <c r="N131" s="38"/>
      <c r="O131" s="38"/>
    </row>
    <row r="132" spans="1:15">
      <c r="A132" s="38"/>
      <c r="B132" s="38"/>
      <c r="C132" s="38"/>
      <c r="D132" s="38"/>
      <c r="E132" s="38"/>
      <c r="F132" s="38"/>
      <c r="G132" s="38"/>
      <c r="H132" s="38"/>
      <c r="I132" s="38"/>
      <c r="J132" s="38"/>
      <c r="K132" s="38"/>
      <c r="L132" s="38"/>
      <c r="M132" s="38"/>
      <c r="N132" s="38"/>
      <c r="O132" s="38"/>
    </row>
    <row r="133" spans="1:15">
      <c r="A133" s="38"/>
      <c r="B133" s="38"/>
      <c r="C133" s="38"/>
      <c r="D133" s="38"/>
      <c r="E133" s="38"/>
      <c r="F133" s="38"/>
      <c r="G133" s="38"/>
      <c r="H133" s="38"/>
      <c r="I133" s="38"/>
      <c r="J133" s="38"/>
      <c r="K133" s="38"/>
      <c r="L133" s="38"/>
      <c r="M133" s="38"/>
      <c r="N133" s="38"/>
      <c r="O133" s="38"/>
    </row>
    <row r="134" spans="1:15">
      <c r="A134" s="38"/>
      <c r="B134" s="38"/>
      <c r="C134" s="38"/>
      <c r="D134" s="38"/>
      <c r="E134" s="38"/>
      <c r="F134" s="38"/>
      <c r="G134" s="38"/>
      <c r="H134" s="38"/>
      <c r="I134" s="38"/>
      <c r="J134" s="38"/>
      <c r="K134" s="38"/>
      <c r="L134" s="38"/>
      <c r="M134" s="38"/>
      <c r="N134" s="38"/>
      <c r="O134" s="38"/>
    </row>
    <row r="135" spans="1:15">
      <c r="A135" s="38"/>
      <c r="B135" s="38"/>
      <c r="C135" s="38"/>
      <c r="D135" s="38"/>
      <c r="E135" s="38"/>
      <c r="F135" s="38"/>
      <c r="G135" s="38"/>
      <c r="H135" s="38"/>
      <c r="I135" s="38"/>
      <c r="J135" s="38"/>
      <c r="K135" s="38"/>
      <c r="L135" s="38"/>
      <c r="M135" s="38"/>
      <c r="N135" s="38"/>
      <c r="O135" s="38"/>
    </row>
    <row r="136" spans="1:15">
      <c r="A136" s="38"/>
      <c r="B136" s="38"/>
      <c r="C136" s="38"/>
      <c r="D136" s="38"/>
      <c r="E136" s="38"/>
      <c r="F136" s="38"/>
      <c r="G136" s="38"/>
      <c r="H136" s="38"/>
      <c r="I136" s="38"/>
      <c r="J136" s="38"/>
      <c r="K136" s="38"/>
      <c r="L136" s="38"/>
      <c r="M136" s="38"/>
      <c r="N136" s="38"/>
      <c r="O136" s="38"/>
    </row>
    <row r="137" spans="1:15">
      <c r="A137" s="38"/>
      <c r="B137" s="38"/>
      <c r="C137" s="38"/>
      <c r="D137" s="38"/>
      <c r="E137" s="38"/>
      <c r="F137" s="38"/>
      <c r="G137" s="38"/>
      <c r="H137" s="38"/>
      <c r="I137" s="38"/>
      <c r="J137" s="38"/>
      <c r="K137" s="38"/>
      <c r="L137" s="38"/>
      <c r="M137" s="38"/>
      <c r="N137" s="38"/>
      <c r="O137" s="38"/>
    </row>
    <row r="138" spans="1:15">
      <c r="A138" s="38"/>
      <c r="B138" s="38"/>
      <c r="C138" s="38"/>
      <c r="D138" s="38"/>
      <c r="E138" s="38"/>
      <c r="F138" s="38"/>
      <c r="G138" s="38"/>
      <c r="H138" s="38"/>
      <c r="I138" s="38"/>
      <c r="J138" s="38"/>
      <c r="K138" s="38"/>
      <c r="L138" s="38"/>
      <c r="M138" s="38"/>
      <c r="N138" s="38"/>
      <c r="O138" s="38"/>
    </row>
    <row r="139" spans="1:15">
      <c r="A139" s="38"/>
      <c r="B139" s="38"/>
      <c r="C139" s="38"/>
      <c r="D139" s="38"/>
      <c r="E139" s="38"/>
      <c r="F139" s="38"/>
      <c r="G139" s="38"/>
      <c r="H139" s="38"/>
      <c r="I139" s="38"/>
      <c r="J139" s="38"/>
      <c r="K139" s="38"/>
      <c r="L139" s="38"/>
      <c r="M139" s="38"/>
      <c r="N139" s="38"/>
      <c r="O139" s="38"/>
    </row>
    <row r="140" spans="1:15">
      <c r="A140" s="38"/>
      <c r="B140" s="38"/>
      <c r="C140" s="38"/>
      <c r="D140" s="38"/>
      <c r="E140" s="38"/>
      <c r="F140" s="38"/>
      <c r="G140" s="38"/>
      <c r="H140" s="38"/>
      <c r="I140" s="38"/>
      <c r="J140" s="38"/>
      <c r="K140" s="38"/>
      <c r="L140" s="38"/>
      <c r="M140" s="38"/>
      <c r="N140" s="38"/>
      <c r="O140" s="38"/>
    </row>
    <row r="141" spans="1:15">
      <c r="A141" s="38"/>
      <c r="B141" s="38"/>
      <c r="C141" s="38"/>
      <c r="D141" s="38"/>
      <c r="E141" s="38"/>
      <c r="F141" s="38"/>
      <c r="G141" s="38"/>
      <c r="H141" s="38"/>
      <c r="I141" s="38"/>
      <c r="J141" s="38"/>
      <c r="K141" s="38"/>
      <c r="L141" s="38"/>
      <c r="M141" s="38"/>
      <c r="N141" s="38"/>
      <c r="O141" s="38"/>
    </row>
    <row r="142" spans="1:15">
      <c r="A142" s="38"/>
      <c r="B142" s="38"/>
      <c r="C142" s="38"/>
      <c r="D142" s="38"/>
      <c r="E142" s="38"/>
      <c r="F142" s="38"/>
      <c r="G142" s="38"/>
      <c r="H142" s="38"/>
      <c r="I142" s="38"/>
      <c r="J142" s="38"/>
      <c r="K142" s="38"/>
      <c r="L142" s="38"/>
      <c r="M142" s="38"/>
      <c r="N142" s="38"/>
      <c r="O142" s="38"/>
    </row>
    <row r="143" spans="1:15">
      <c r="A143" s="38"/>
      <c r="B143" s="38"/>
      <c r="C143" s="38"/>
      <c r="D143" s="38"/>
      <c r="E143" s="38"/>
      <c r="F143" s="38"/>
      <c r="G143" s="38"/>
      <c r="H143" s="38"/>
      <c r="I143" s="38"/>
      <c r="J143" s="38"/>
      <c r="K143" s="38"/>
      <c r="L143" s="38"/>
      <c r="M143" s="38"/>
      <c r="N143" s="38"/>
      <c r="O143" s="38"/>
    </row>
    <row r="144" spans="1:15">
      <c r="A144" s="38"/>
      <c r="B144" s="38"/>
      <c r="C144" s="38"/>
      <c r="D144" s="38"/>
      <c r="E144" s="38"/>
      <c r="F144" s="38"/>
      <c r="G144" s="38"/>
      <c r="H144" s="38"/>
      <c r="I144" s="38"/>
      <c r="J144" s="38"/>
      <c r="K144" s="38"/>
      <c r="L144" s="38"/>
      <c r="M144" s="38"/>
      <c r="N144" s="38"/>
      <c r="O144" s="38"/>
    </row>
    <row r="145" spans="1:15">
      <c r="A145" s="38"/>
      <c r="B145" s="38"/>
      <c r="C145" s="38"/>
      <c r="D145" s="38"/>
      <c r="E145" s="38"/>
      <c r="F145" s="38"/>
      <c r="G145" s="38"/>
      <c r="H145" s="38"/>
      <c r="I145" s="38"/>
      <c r="J145" s="38"/>
      <c r="K145" s="38"/>
      <c r="L145" s="38"/>
      <c r="M145" s="38"/>
      <c r="N145" s="38"/>
      <c r="O145" s="38"/>
    </row>
    <row r="146" spans="1:15">
      <c r="A146" s="38"/>
      <c r="B146" s="38"/>
      <c r="C146" s="38"/>
      <c r="D146" s="38"/>
      <c r="E146" s="38"/>
      <c r="F146" s="38"/>
      <c r="G146" s="38"/>
      <c r="H146" s="38"/>
      <c r="I146" s="38"/>
      <c r="J146" s="38"/>
      <c r="K146" s="38"/>
      <c r="L146" s="38"/>
      <c r="M146" s="38"/>
      <c r="N146" s="38"/>
      <c r="O146" s="38"/>
    </row>
    <row r="147" spans="1:15">
      <c r="A147" s="38"/>
      <c r="B147" s="38"/>
      <c r="C147" s="38"/>
      <c r="D147" s="38"/>
      <c r="E147" s="38"/>
      <c r="F147" s="38"/>
      <c r="G147" s="38"/>
      <c r="H147" s="38"/>
      <c r="I147" s="38"/>
      <c r="J147" s="38"/>
      <c r="K147" s="38"/>
      <c r="L147" s="38"/>
      <c r="M147" s="38"/>
      <c r="N147" s="38"/>
      <c r="O147" s="38"/>
    </row>
    <row r="148" spans="1:15">
      <c r="A148" s="38"/>
      <c r="B148" s="38"/>
      <c r="C148" s="38"/>
      <c r="D148" s="38"/>
      <c r="E148" s="38"/>
      <c r="F148" s="38"/>
      <c r="G148" s="38"/>
      <c r="H148" s="38"/>
      <c r="I148" s="38"/>
      <c r="J148" s="38"/>
      <c r="K148" s="38"/>
      <c r="L148" s="38"/>
      <c r="M148" s="38"/>
      <c r="N148" s="38"/>
      <c r="O148" s="38"/>
    </row>
    <row r="149" spans="1:15">
      <c r="A149" s="38"/>
      <c r="B149" s="38"/>
      <c r="C149" s="38"/>
      <c r="D149" s="38"/>
      <c r="E149" s="38"/>
      <c r="F149" s="38"/>
      <c r="G149" s="38"/>
      <c r="H149" s="38"/>
      <c r="I149" s="38"/>
      <c r="J149" s="38"/>
      <c r="K149" s="38"/>
      <c r="L149" s="38"/>
      <c r="M149" s="38"/>
      <c r="N149" s="38"/>
      <c r="O149" s="38"/>
    </row>
    <row r="150" spans="1:15">
      <c r="A150" s="38"/>
      <c r="B150" s="38"/>
      <c r="C150" s="38"/>
      <c r="D150" s="38"/>
      <c r="E150" s="38"/>
      <c r="F150" s="38"/>
      <c r="G150" s="38"/>
      <c r="H150" s="38"/>
      <c r="I150" s="38"/>
      <c r="J150" s="38"/>
      <c r="K150" s="38"/>
      <c r="L150" s="38"/>
      <c r="M150" s="38"/>
      <c r="N150" s="38"/>
      <c r="O150" s="38"/>
    </row>
    <row r="151" spans="1:15">
      <c r="A151" s="38"/>
      <c r="B151" s="38"/>
      <c r="C151" s="38"/>
      <c r="D151" s="38"/>
      <c r="E151" s="38"/>
      <c r="F151" s="38"/>
      <c r="G151" s="38"/>
      <c r="H151" s="38"/>
      <c r="I151" s="38"/>
      <c r="J151" s="38"/>
      <c r="K151" s="38"/>
      <c r="L151" s="38"/>
      <c r="M151" s="38"/>
      <c r="N151" s="38"/>
      <c r="O151" s="38"/>
    </row>
    <row r="152" spans="1:15">
      <c r="A152" s="38"/>
      <c r="B152" s="38"/>
      <c r="C152" s="38"/>
      <c r="D152" s="38"/>
      <c r="E152" s="38"/>
      <c r="F152" s="38"/>
      <c r="G152" s="38"/>
      <c r="H152" s="38"/>
      <c r="I152" s="38"/>
      <c r="J152" s="38"/>
      <c r="K152" s="38"/>
      <c r="L152" s="38"/>
      <c r="M152" s="38"/>
      <c r="N152" s="38"/>
      <c r="O152" s="38"/>
    </row>
    <row r="153" spans="1:15">
      <c r="A153" s="38"/>
      <c r="B153" s="38"/>
      <c r="C153" s="38"/>
      <c r="D153" s="38"/>
      <c r="E153" s="38"/>
      <c r="F153" s="38"/>
      <c r="G153" s="38"/>
      <c r="H153" s="38"/>
      <c r="I153" s="38"/>
      <c r="J153" s="38"/>
      <c r="K153" s="38"/>
      <c r="L153" s="38"/>
      <c r="M153" s="38"/>
      <c r="N153" s="38"/>
      <c r="O153" s="38"/>
    </row>
    <row r="154" spans="1:15">
      <c r="A154" s="38"/>
      <c r="B154" s="38"/>
      <c r="C154" s="38"/>
      <c r="D154" s="38"/>
      <c r="E154" s="38"/>
      <c r="F154" s="38"/>
      <c r="G154" s="38"/>
      <c r="H154" s="38"/>
      <c r="I154" s="38"/>
      <c r="J154" s="38"/>
      <c r="K154" s="38"/>
      <c r="L154" s="38"/>
      <c r="M154" s="38"/>
      <c r="N154" s="38"/>
      <c r="O154" s="38"/>
    </row>
    <row r="155" spans="1:15">
      <c r="A155" s="38"/>
      <c r="B155" s="38"/>
      <c r="C155" s="38"/>
      <c r="D155" s="38"/>
      <c r="E155" s="38"/>
      <c r="F155" s="38"/>
      <c r="G155" s="38"/>
      <c r="H155" s="38"/>
      <c r="I155" s="38"/>
      <c r="J155" s="38"/>
      <c r="K155" s="38"/>
      <c r="L155" s="38"/>
      <c r="M155" s="38"/>
      <c r="N155" s="38"/>
      <c r="O155" s="38"/>
    </row>
    <row r="156" spans="1:15">
      <c r="A156" s="38"/>
      <c r="B156" s="38"/>
      <c r="C156" s="38"/>
      <c r="D156" s="38"/>
      <c r="E156" s="38"/>
      <c r="F156" s="38"/>
      <c r="G156" s="38"/>
      <c r="H156" s="38"/>
      <c r="I156" s="38"/>
      <c r="J156" s="38"/>
      <c r="K156" s="38"/>
      <c r="L156" s="38"/>
      <c r="M156" s="38"/>
      <c r="N156" s="38"/>
      <c r="O156" s="38"/>
    </row>
    <row r="157" spans="1:15">
      <c r="A157" s="38"/>
      <c r="B157" s="38"/>
      <c r="C157" s="38"/>
      <c r="D157" s="38"/>
      <c r="E157" s="38"/>
      <c r="F157" s="38"/>
      <c r="G157" s="38"/>
      <c r="H157" s="38"/>
      <c r="I157" s="38"/>
      <c r="J157" s="38"/>
      <c r="K157" s="38"/>
      <c r="L157" s="38"/>
      <c r="M157" s="38"/>
      <c r="N157" s="38"/>
      <c r="O157" s="38"/>
    </row>
    <row r="158" spans="1:15">
      <c r="A158" s="38"/>
      <c r="B158" s="38"/>
      <c r="C158" s="38"/>
      <c r="D158" s="38"/>
      <c r="E158" s="38"/>
      <c r="F158" s="38"/>
      <c r="G158" s="38"/>
      <c r="H158" s="38"/>
      <c r="I158" s="38"/>
      <c r="J158" s="38"/>
      <c r="K158" s="38"/>
      <c r="L158" s="38"/>
      <c r="M158" s="38"/>
      <c r="N158" s="38"/>
      <c r="O158" s="38"/>
    </row>
  </sheetData>
  <mergeCells count="11">
    <mergeCell ref="B24:K24"/>
    <mergeCell ref="B34:J34"/>
    <mergeCell ref="B74:J74"/>
    <mergeCell ref="A1:L1"/>
    <mergeCell ref="A2:L2"/>
    <mergeCell ref="A3:L3"/>
    <mergeCell ref="A4:L4"/>
    <mergeCell ref="B8:K8"/>
    <mergeCell ref="E10:E11"/>
    <mergeCell ref="G10:G11"/>
    <mergeCell ref="I10:I11"/>
  </mergeCells>
  <printOptions horizontalCentered="1"/>
  <pageMargins left="0.25" right="0.25" top="1" bottom="0.25" header="0.25" footer="0"/>
  <pageSetup scale="35" orientation="portrait" r:id="rId1"/>
  <headerFooter alignWithMargins="0">
    <oddHeader xml:space="preserve">&amp;R&amp;14AEP - SPP Formula Rate
TCOS - WS D
Page: &amp;P of &amp;N&amp;18
</oddHeader>
    <oddFooter xml:space="preserve">&amp;R &amp;C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zoomScale="81" zoomScaleNormal="81" zoomScaleSheetLayoutView="100" workbookViewId="0">
      <selection activeCell="O34" sqref="O34"/>
    </sheetView>
  </sheetViews>
  <sheetFormatPr defaultColWidth="8.85546875" defaultRowHeight="12.75"/>
  <cols>
    <col min="1" max="1" width="9.140625" style="198" customWidth="1"/>
    <col min="2" max="2" width="65.140625" style="38" bestFit="1" customWidth="1"/>
    <col min="3" max="3" width="16.42578125" style="38" bestFit="1" customWidth="1"/>
    <col min="4" max="4" width="1.5703125" style="38" customWidth="1"/>
    <col min="5" max="5" width="15" style="38" bestFit="1" customWidth="1"/>
    <col min="6" max="7" width="8.85546875" style="38"/>
    <col min="8" max="8" width="10.85546875" style="38" bestFit="1" customWidth="1"/>
    <col min="9" max="16384" width="8.85546875" style="38"/>
  </cols>
  <sheetData>
    <row r="1" spans="1:15" ht="15">
      <c r="A1" s="1556" t="str">
        <f>+'SWEPCO TCOS'!F3</f>
        <v xml:space="preserve">AEP West SPP Member Operating Companies </v>
      </c>
      <c r="B1" s="1556"/>
      <c r="C1" s="1556"/>
      <c r="D1" s="1556"/>
      <c r="E1" s="1556"/>
      <c r="F1" s="324"/>
      <c r="G1" s="324"/>
      <c r="H1" s="324"/>
      <c r="I1" s="324"/>
      <c r="J1" s="324"/>
      <c r="K1" s="324"/>
      <c r="L1" s="324"/>
      <c r="M1" s="324"/>
      <c r="N1" s="324"/>
      <c r="O1" s="324"/>
    </row>
    <row r="2" spans="1:15" ht="15">
      <c r="A2" s="1553" t="str">
        <f>+'SWEPCO WS A RB Support '!A2:G2</f>
        <v xml:space="preserve">Actual / Projected 2019 Rate Year Cost of Service Formula Rate </v>
      </c>
      <c r="B2" s="1553"/>
      <c r="C2" s="1553"/>
      <c r="D2" s="1553"/>
      <c r="E2" s="1553"/>
      <c r="F2" s="384"/>
      <c r="G2" s="384"/>
      <c r="H2" s="384"/>
      <c r="I2" s="384"/>
      <c r="J2" s="384"/>
      <c r="K2" s="384"/>
      <c r="L2" s="384"/>
      <c r="M2" s="1132"/>
      <c r="N2" s="1132"/>
      <c r="O2" s="1132"/>
    </row>
    <row r="3" spans="1:15" ht="15.75">
      <c r="A3" s="1554" t="s">
        <v>132</v>
      </c>
      <c r="B3" s="1553"/>
      <c r="C3" s="1553"/>
      <c r="D3" s="1553"/>
      <c r="E3" s="1553"/>
      <c r="F3" s="384"/>
      <c r="G3" s="384"/>
      <c r="H3" s="384"/>
      <c r="I3" s="384"/>
      <c r="J3" s="384"/>
      <c r="K3" s="384"/>
      <c r="L3" s="384"/>
      <c r="M3" s="384"/>
      <c r="N3" s="384"/>
      <c r="O3" s="384"/>
    </row>
    <row r="4" spans="1:15" ht="15.75">
      <c r="A4" s="1574" t="str">
        <f>+'SWEPCO TCOS'!F7</f>
        <v>SOUTHWESTERN ELECTRIC POWER COMPANY</v>
      </c>
      <c r="B4" s="1574"/>
      <c r="C4" s="1574"/>
      <c r="D4" s="1574"/>
      <c r="E4" s="1574"/>
      <c r="F4" s="132"/>
      <c r="G4" s="132"/>
      <c r="H4" s="132"/>
      <c r="I4" s="132"/>
      <c r="J4" s="132"/>
      <c r="K4" s="132"/>
      <c r="L4" s="132"/>
      <c r="M4" s="132"/>
      <c r="N4" s="132"/>
      <c r="O4" s="132"/>
    </row>
    <row r="6" spans="1:15">
      <c r="A6" s="181" t="s">
        <v>345</v>
      </c>
      <c r="B6" s="113" t="s">
        <v>338</v>
      </c>
      <c r="C6" s="113" t="s">
        <v>339</v>
      </c>
    </row>
    <row r="7" spans="1:15">
      <c r="A7" s="181" t="s">
        <v>283</v>
      </c>
      <c r="B7" s="181" t="s">
        <v>343</v>
      </c>
      <c r="C7" s="181">
        <f>+'SWEPCO TCOS'!N1</f>
        <v>2019</v>
      </c>
    </row>
    <row r="8" spans="1:15">
      <c r="B8" s="292"/>
      <c r="C8" s="113"/>
    </row>
    <row r="9" spans="1:15">
      <c r="A9" s="198">
        <v>1</v>
      </c>
      <c r="B9" s="422" t="str">
        <f>"Net Funds from IPP Customers @ 12/31/"&amp;C7-1&amp;" ("&amp;C7&amp;" FORM 1, P269, (B))"</f>
        <v>Net Funds from IPP Customers @ 12/31/2018 (2019 FORM 1, P269, (B))</v>
      </c>
      <c r="C9" s="1120">
        <f>+'[4]Inputs 2019'!$H$230</f>
        <v>25261807</v>
      </c>
      <c r="D9" s="268"/>
      <c r="E9" s="194"/>
    </row>
    <row r="10" spans="1:15">
      <c r="A10" s="198" t="s">
        <v>139</v>
      </c>
      <c r="B10" s="422"/>
      <c r="C10" s="268"/>
      <c r="D10" s="268"/>
    </row>
    <row r="11" spans="1:15">
      <c r="A11" s="198">
        <v>2</v>
      </c>
      <c r="B11" s="332" t="s">
        <v>1086</v>
      </c>
      <c r="C11" s="1120">
        <v>0</v>
      </c>
      <c r="D11" s="268"/>
    </row>
    <row r="12" spans="1:15">
      <c r="B12" s="422"/>
      <c r="C12" s="268"/>
      <c r="D12" s="268"/>
    </row>
    <row r="13" spans="1:15">
      <c r="A13" s="198">
        <f>+A11+1</f>
        <v>3</v>
      </c>
      <c r="B13" s="332" t="s">
        <v>1087</v>
      </c>
      <c r="C13" s="1120">
        <f>+'[4]Inputs 2019'!$H$234</f>
        <v>-110144</v>
      </c>
      <c r="D13" s="268"/>
    </row>
    <row r="14" spans="1:15">
      <c r="B14" s="422"/>
      <c r="C14" s="268"/>
      <c r="D14" s="268"/>
    </row>
    <row r="15" spans="1:15">
      <c r="A15" s="198">
        <f>+A13+1</f>
        <v>4</v>
      </c>
      <c r="B15" s="949" t="s">
        <v>1088</v>
      </c>
      <c r="C15" s="268"/>
      <c r="D15" s="268"/>
    </row>
    <row r="16" spans="1:15">
      <c r="A16" s="198">
        <f>+A15+1</f>
        <v>5</v>
      </c>
      <c r="B16" s="422" t="s">
        <v>407</v>
      </c>
      <c r="C16" s="1120">
        <v>0</v>
      </c>
      <c r="D16" s="268"/>
      <c r="H16" s="268"/>
    </row>
    <row r="17" spans="1:5">
      <c r="A17" s="198">
        <f>+A16+1</f>
        <v>6</v>
      </c>
      <c r="B17" s="422" t="s">
        <v>291</v>
      </c>
      <c r="C17" s="1118"/>
      <c r="D17" s="268"/>
    </row>
    <row r="18" spans="1:5">
      <c r="B18" s="422"/>
      <c r="C18" s="455"/>
      <c r="D18" s="268"/>
    </row>
    <row r="19" spans="1:5">
      <c r="A19" s="198">
        <f>+A17+1</f>
        <v>7</v>
      </c>
      <c r="B19" s="422" t="str">
        <f>" Net Funds from IPP Customers 12/31/"&amp;C7&amp;" ("&amp;C7&amp;" FORM 1, P269, (F))"</f>
        <v xml:space="preserve"> Net Funds from IPP Customers 12/31/2019 (2019 FORM 1, P269, (F))</v>
      </c>
      <c r="C19" s="268">
        <f>+C9+C11+C13+C16+C17</f>
        <v>25151663</v>
      </c>
      <c r="D19" s="1101"/>
      <c r="E19" s="194"/>
    </row>
    <row r="20" spans="1:5">
      <c r="B20" s="422"/>
      <c r="C20" s="268"/>
      <c r="D20" s="268"/>
    </row>
    <row r="21" spans="1:5">
      <c r="A21" s="198">
        <f>+A19+1</f>
        <v>8</v>
      </c>
      <c r="B21" s="422" t="str">
        <f>"Average Balance for "&amp;C7&amp;" ((ln "&amp;A9&amp;" + ln "&amp;A19&amp;")/2)"</f>
        <v>Average Balance for 2019 ((ln 1 + ln 7)/2)</v>
      </c>
      <c r="C21" s="367">
        <f>AVERAGE(C19,C9)</f>
        <v>25206735</v>
      </c>
      <c r="D21" s="268"/>
    </row>
    <row r="22" spans="1:5">
      <c r="C22" s="268"/>
      <c r="D22" s="268"/>
    </row>
    <row r="23" spans="1:5">
      <c r="C23" s="268"/>
      <c r="D23" s="268"/>
    </row>
    <row r="30" spans="1:5">
      <c r="D30" s="1139"/>
    </row>
    <row r="36" spans="3:3">
      <c r="C36" s="456"/>
    </row>
    <row r="53" spans="1:1">
      <c r="A53" s="38"/>
    </row>
    <row r="54" spans="1:1">
      <c r="A54" s="38"/>
    </row>
    <row r="55" spans="1:1">
      <c r="A55" s="38"/>
    </row>
    <row r="56" spans="1:1">
      <c r="A56" s="38"/>
    </row>
    <row r="57" spans="1:1">
      <c r="A57" s="38"/>
    </row>
    <row r="58" spans="1:1">
      <c r="A58" s="38"/>
    </row>
    <row r="59" spans="1:1">
      <c r="A59" s="38"/>
    </row>
    <row r="60" spans="1:1">
      <c r="A60" s="38"/>
    </row>
    <row r="61" spans="1:1">
      <c r="A61" s="38"/>
    </row>
    <row r="62" spans="1:1">
      <c r="A62" s="38"/>
    </row>
    <row r="63" spans="1:1">
      <c r="A63" s="38"/>
    </row>
    <row r="64" spans="1:1">
      <c r="A64" s="38"/>
    </row>
    <row r="65" spans="1:1">
      <c r="A65" s="38"/>
    </row>
    <row r="66" spans="1:1">
      <c r="A66" s="38"/>
    </row>
    <row r="67" spans="1:1">
      <c r="A67" s="38"/>
    </row>
    <row r="68" spans="1:1">
      <c r="A68" s="38"/>
    </row>
    <row r="69" spans="1:1">
      <c r="A69" s="38"/>
    </row>
    <row r="70" spans="1:1">
      <c r="A70" s="38"/>
    </row>
    <row r="71" spans="1:1">
      <c r="A71" s="38"/>
    </row>
    <row r="72" spans="1:1">
      <c r="A72" s="38"/>
    </row>
    <row r="73" spans="1:1">
      <c r="A73" s="38"/>
    </row>
    <row r="74" spans="1:1">
      <c r="A74" s="38"/>
    </row>
    <row r="75" spans="1:1">
      <c r="A75" s="38"/>
    </row>
    <row r="76" spans="1:1">
      <c r="A76" s="38"/>
    </row>
    <row r="77" spans="1:1">
      <c r="A77" s="38"/>
    </row>
    <row r="78" spans="1:1">
      <c r="A78" s="38"/>
    </row>
    <row r="79" spans="1:1">
      <c r="A79" s="38"/>
    </row>
    <row r="80" spans="1:1">
      <c r="A80" s="38"/>
    </row>
    <row r="81" spans="1:1">
      <c r="A81" s="38"/>
    </row>
    <row r="82" spans="1:1">
      <c r="A82" s="38"/>
    </row>
    <row r="83" spans="1:1">
      <c r="A83" s="38"/>
    </row>
    <row r="84" spans="1:1">
      <c r="A84" s="38"/>
    </row>
    <row r="85" spans="1:1">
      <c r="A85" s="38"/>
    </row>
    <row r="86" spans="1:1">
      <c r="A86" s="38"/>
    </row>
    <row r="87" spans="1:1">
      <c r="A87" s="38"/>
    </row>
    <row r="88" spans="1:1">
      <c r="A88" s="38"/>
    </row>
    <row r="89" spans="1:1">
      <c r="A89" s="38"/>
    </row>
    <row r="90" spans="1:1">
      <c r="A90" s="38"/>
    </row>
    <row r="91" spans="1:1">
      <c r="A91" s="38"/>
    </row>
    <row r="92" spans="1:1">
      <c r="A92" s="38"/>
    </row>
    <row r="93" spans="1:1">
      <c r="A93" s="38"/>
    </row>
    <row r="94" spans="1:1">
      <c r="A94" s="38"/>
    </row>
    <row r="95" spans="1:1">
      <c r="A95" s="38"/>
    </row>
    <row r="96" spans="1:1">
      <c r="A96" s="38"/>
    </row>
    <row r="97" spans="1:1">
      <c r="A97" s="38"/>
    </row>
    <row r="98" spans="1:1">
      <c r="A98" s="38"/>
    </row>
    <row r="99" spans="1:1">
      <c r="A99" s="38"/>
    </row>
    <row r="100" spans="1:1">
      <c r="A100" s="38"/>
    </row>
    <row r="101" spans="1:1">
      <c r="A101" s="38"/>
    </row>
  </sheetData>
  <mergeCells count="4">
    <mergeCell ref="A1:E1"/>
    <mergeCell ref="A2:E2"/>
    <mergeCell ref="A3:E3"/>
    <mergeCell ref="A4:E4"/>
  </mergeCells>
  <printOptions horizontalCentered="1"/>
  <pageMargins left="0.75" right="0.75" top="1" bottom="0.25" header="0.25" footer="0.5"/>
  <pageSetup scale="85" orientation="portrait" r:id="rId1"/>
  <headerFooter alignWithMargins="0">
    <oddHeader xml:space="preserve">&amp;R&amp;11AEP - SPP Formula Rate
TCOS - WS E
Page: &amp;P of &amp;N&amp;14
</oddHeader>
    <oddFooter xml:space="preserve">&amp;R &amp;C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3"/>
  <sheetViews>
    <sheetView topLeftCell="A13" zoomScale="70" zoomScaleNormal="70" zoomScaleSheetLayoutView="75" zoomScalePageLayoutView="80" workbookViewId="0">
      <selection activeCell="O34" sqref="O34"/>
    </sheetView>
  </sheetViews>
  <sheetFormatPr defaultColWidth="8.85546875" defaultRowHeight="12.75"/>
  <cols>
    <col min="1" max="1" width="9.28515625" style="38" customWidth="1"/>
    <col min="2" max="2" width="6.7109375" style="38" customWidth="1"/>
    <col min="3" max="3" width="24.5703125" style="38" customWidth="1"/>
    <col min="4" max="4" width="17.7109375" style="198" customWidth="1"/>
    <col min="5" max="5" width="21.7109375" style="38" customWidth="1"/>
    <col min="6" max="8" width="17.7109375" style="38" customWidth="1"/>
    <col min="9" max="9" width="19.5703125" style="1101" customWidth="1"/>
    <col min="10" max="12" width="17.7109375" style="38" customWidth="1"/>
    <col min="13" max="13" width="20" style="38" customWidth="1"/>
    <col min="14" max="14" width="19.5703125" style="38" customWidth="1"/>
    <col min="15" max="15" width="19" style="40" customWidth="1"/>
    <col min="16" max="16" width="16.42578125" style="40" customWidth="1"/>
    <col min="17" max="17" width="57.85546875" style="38" bestFit="1" customWidth="1"/>
    <col min="18" max="16384" width="8.85546875" style="38"/>
  </cols>
  <sheetData>
    <row r="1" spans="1:19" ht="18">
      <c r="A1" s="1562" t="str">
        <f>'SWEPCO TCOS'!F3</f>
        <v xml:space="preserve">AEP West SPP Member Operating Companies </v>
      </c>
      <c r="B1" s="1562"/>
      <c r="C1" s="1562"/>
      <c r="D1" s="1562"/>
      <c r="E1" s="1562"/>
      <c r="F1" s="1562"/>
      <c r="G1" s="1562"/>
      <c r="H1" s="1562"/>
      <c r="I1" s="1562"/>
    </row>
    <row r="2" spans="1:19" ht="18">
      <c r="A2" s="1562" t="str">
        <f>+'SWEPCO WS A RB Support '!A2:G2</f>
        <v xml:space="preserve">Actual / Projected 2019 Rate Year Cost of Service Formula Rate </v>
      </c>
      <c r="B2" s="1562"/>
      <c r="C2" s="1562"/>
      <c r="D2" s="1562"/>
      <c r="E2" s="1562"/>
      <c r="F2" s="1562"/>
      <c r="G2" s="1562"/>
      <c r="H2" s="1562"/>
      <c r="I2" s="1562"/>
      <c r="P2" s="363"/>
    </row>
    <row r="3" spans="1:19" ht="18">
      <c r="A3" s="1562" t="s">
        <v>1137</v>
      </c>
      <c r="B3" s="1562"/>
      <c r="C3" s="1562"/>
      <c r="D3" s="1562"/>
      <c r="E3" s="1562"/>
      <c r="F3" s="1562"/>
      <c r="G3" s="1562"/>
      <c r="H3" s="1562"/>
      <c r="I3" s="1562"/>
    </row>
    <row r="4" spans="1:19" ht="18">
      <c r="A4" s="1563" t="str">
        <f>+'SWEPCO TCOS'!F7</f>
        <v>SOUTHWESTERN ELECTRIC POWER COMPANY</v>
      </c>
      <c r="B4" s="1563"/>
      <c r="C4" s="1563"/>
      <c r="D4" s="1563"/>
      <c r="E4" s="1563"/>
      <c r="F4" s="1563"/>
      <c r="G4" s="1563"/>
      <c r="H4" s="1563"/>
      <c r="I4" s="1563"/>
      <c r="P4" s="38"/>
    </row>
    <row r="5" spans="1:19" ht="20.25">
      <c r="A5" s="165"/>
      <c r="C5" s="137"/>
      <c r="P5" s="363" t="s">
        <v>551</v>
      </c>
    </row>
    <row r="6" spans="1:19" ht="35.25" customHeight="1">
      <c r="A6" s="950" t="s">
        <v>345</v>
      </c>
      <c r="B6" s="136" t="s">
        <v>347</v>
      </c>
      <c r="C6" s="1587" t="str">
        <f>"Calculate Return and Income Taxes with "&amp;F11&amp;" basis point ROE increase for Projects Qualified for Incentive."</f>
        <v>Calculate Return and Income Taxes with 0 basis point ROE increase for Projects Qualified for Incentive.</v>
      </c>
      <c r="D6" s="1560"/>
      <c r="E6" s="1560"/>
      <c r="F6" s="1560"/>
      <c r="G6" s="1560"/>
      <c r="H6" s="1560"/>
      <c r="I6" s="1560"/>
      <c r="J6" s="1565" t="s">
        <v>483</v>
      </c>
      <c r="K6" s="1565"/>
      <c r="L6" s="1565"/>
      <c r="M6" s="1565"/>
      <c r="N6" s="1565"/>
    </row>
    <row r="7" spans="1:19" ht="15.75" customHeight="1">
      <c r="A7" s="950" t="s">
        <v>283</v>
      </c>
      <c r="C7" s="344"/>
      <c r="D7" s="344"/>
      <c r="E7" s="344"/>
      <c r="F7" s="344"/>
      <c r="G7" s="344"/>
      <c r="H7" s="344"/>
      <c r="I7" s="344"/>
      <c r="J7" s="1565"/>
      <c r="K7" s="1565"/>
      <c r="L7" s="1565"/>
      <c r="M7" s="1565"/>
      <c r="N7" s="1565"/>
      <c r="P7" s="38"/>
      <c r="Q7" s="38" t="s">
        <v>195</v>
      </c>
    </row>
    <row r="8" spans="1:19" ht="15.75">
      <c r="C8" s="206" t="str">
        <f>"A.   Determine 'R' with hypothetical "&amp;F11&amp;" basis point increase in ROE for Identified Projects"</f>
        <v>A.   Determine 'R' with hypothetical 0 basis point increase in ROE for Identified Projects</v>
      </c>
      <c r="J8" s="1565"/>
      <c r="K8" s="1565"/>
      <c r="L8" s="1565"/>
      <c r="M8" s="1565"/>
      <c r="N8" s="1565"/>
      <c r="P8" s="445" t="s">
        <v>189</v>
      </c>
      <c r="Q8" s="363" t="s">
        <v>108</v>
      </c>
    </row>
    <row r="9" spans="1:19" ht="18" customHeight="1" thickBot="1">
      <c r="J9" s="1565"/>
      <c r="K9" s="1565"/>
      <c r="L9" s="1565"/>
      <c r="M9" s="1565"/>
      <c r="N9" s="1565"/>
      <c r="P9" s="363" t="s">
        <v>490</v>
      </c>
    </row>
    <row r="10" spans="1:19" ht="13.5" thickBot="1">
      <c r="A10" s="198">
        <v>1</v>
      </c>
      <c r="C10" s="149" t="str">
        <f>"   ROE w/o incentives  (TCOS, ln "&amp;'SWEPCO TCOS'!B233&amp;")"</f>
        <v xml:space="preserve">   ROE w/o incentives  (TCOS, ln 141)</v>
      </c>
      <c r="E10" s="216"/>
      <c r="F10" s="307">
        <f>+'SWEPCO TCOS'!J233</f>
        <v>0.112</v>
      </c>
      <c r="G10" s="307"/>
      <c r="H10" s="309"/>
      <c r="I10" s="1140"/>
      <c r="J10" s="344"/>
      <c r="K10" s="344"/>
      <c r="L10" s="344"/>
      <c r="M10" s="344"/>
      <c r="N10" s="344"/>
      <c r="O10" s="158"/>
      <c r="P10" s="306" t="s">
        <v>532</v>
      </c>
      <c r="Q10" s="446" t="s">
        <v>107</v>
      </c>
      <c r="R10" s="138"/>
    </row>
    <row r="11" spans="1:19" ht="18" customHeight="1">
      <c r="A11" s="198">
        <f>+A10+1</f>
        <v>2</v>
      </c>
      <c r="C11" s="149" t="s">
        <v>174</v>
      </c>
      <c r="E11" s="216"/>
      <c r="F11" s="1141">
        <v>0</v>
      </c>
      <c r="G11" s="1142" t="s">
        <v>376</v>
      </c>
      <c r="I11" s="38"/>
      <c r="J11" s="1581" t="s">
        <v>224</v>
      </c>
      <c r="K11" s="1582"/>
      <c r="L11" s="1582"/>
      <c r="M11" s="1582"/>
      <c r="N11" s="1583"/>
      <c r="O11" s="158"/>
      <c r="P11" s="1362">
        <f>+K18</f>
        <v>2019</v>
      </c>
      <c r="Q11" s="436" t="s">
        <v>65</v>
      </c>
      <c r="R11" s="138"/>
    </row>
    <row r="12" spans="1:19" ht="17.25" customHeight="1">
      <c r="A12" s="198">
        <f>+A11+1</f>
        <v>3</v>
      </c>
      <c r="C12" s="149" t="str">
        <f>"   ROE with additional "&amp;F11&amp;" basis point incentive"</f>
        <v xml:space="preserve">   ROE with additional 0 basis point incentive</v>
      </c>
      <c r="D12" s="216"/>
      <c r="E12" s="216"/>
      <c r="F12" s="139">
        <f>IF((F10+(F11/10000)&gt;0.1245),"ERROR",F10+(F11/10000))</f>
        <v>0.112</v>
      </c>
      <c r="G12" s="218" t="s">
        <v>1136</v>
      </c>
      <c r="I12" s="310"/>
      <c r="J12" s="1584"/>
      <c r="K12" s="1585"/>
      <c r="L12" s="1585"/>
      <c r="M12" s="1585"/>
      <c r="N12" s="1586"/>
      <c r="O12" s="158"/>
      <c r="P12" s="265">
        <f>+F10</f>
        <v>0.112</v>
      </c>
      <c r="Q12" s="38" t="str">
        <f>+C10</f>
        <v xml:space="preserve">   ROE w/o incentives  (TCOS, ln 141)</v>
      </c>
      <c r="R12" s="140"/>
      <c r="S12" s="40"/>
    </row>
    <row r="13" spans="1:19" ht="16.5" customHeight="1">
      <c r="A13" s="198">
        <f t="shared" ref="A13:A72" si="0">+A12+1</f>
        <v>4</v>
      </c>
      <c r="C13" s="955" t="str">
        <f>"   Determine R  (cost of long term debt, cost of preferred stock and percent is from TCOS, lns "&amp;'SWEPCO TCOS'!B231&amp;" through "&amp;'SWEPCO TCOS'!B233&amp;")"</f>
        <v xml:space="preserve">   Determine R  (cost of long term debt, cost of preferred stock and percent is from TCOS, lns 139 through 141)</v>
      </c>
      <c r="E13" s="216"/>
      <c r="F13" s="139"/>
      <c r="G13" s="139"/>
      <c r="H13" s="216"/>
      <c r="I13" s="310"/>
      <c r="J13" s="1584"/>
      <c r="K13" s="1585"/>
      <c r="L13" s="1585"/>
      <c r="M13" s="1585"/>
      <c r="N13" s="1586"/>
      <c r="O13" s="158"/>
      <c r="P13" s="1143">
        <f>+F11</f>
        <v>0</v>
      </c>
      <c r="Q13" s="436" t="s">
        <v>174</v>
      </c>
      <c r="R13" s="140"/>
      <c r="S13" s="40"/>
    </row>
    <row r="14" spans="1:19" ht="16.5" customHeight="1">
      <c r="A14" s="198">
        <f t="shared" si="0"/>
        <v>5</v>
      </c>
      <c r="C14" s="158"/>
      <c r="D14" s="308" t="s">
        <v>322</v>
      </c>
      <c r="E14" s="308" t="s">
        <v>321</v>
      </c>
      <c r="F14" s="141" t="s">
        <v>419</v>
      </c>
      <c r="G14" s="141"/>
      <c r="H14" s="216"/>
      <c r="I14" s="310"/>
      <c r="J14" s="952"/>
      <c r="K14" s="953"/>
      <c r="L14" s="953"/>
      <c r="M14" s="953"/>
      <c r="N14" s="954"/>
      <c r="O14" s="158"/>
      <c r="P14" s="1144">
        <f>+D15</f>
        <v>0.53322994680523572</v>
      </c>
      <c r="Q14" s="447" t="s">
        <v>493</v>
      </c>
      <c r="R14" s="140"/>
      <c r="S14" s="40"/>
    </row>
    <row r="15" spans="1:19">
      <c r="A15" s="198">
        <f t="shared" si="0"/>
        <v>6</v>
      </c>
      <c r="C15" s="142" t="s">
        <v>422</v>
      </c>
      <c r="D15" s="364">
        <f>IF(+'SWEPCO TCOS'!H231=0,'SWEPCO TCOS'!G231,'SWEPCO TCOS'!H231)</f>
        <v>0.53322994680523572</v>
      </c>
      <c r="E15" s="1145">
        <f>+'SWEPCO TCOS'!J231</f>
        <v>4.5858083034810274E-2</v>
      </c>
      <c r="F15" s="1146">
        <f>E15*D15</f>
        <v>2.4452903177241966E-2</v>
      </c>
      <c r="G15" s="255"/>
      <c r="H15" s="216"/>
      <c r="I15" s="310"/>
      <c r="J15" s="956"/>
      <c r="K15" s="508"/>
      <c r="L15" s="508"/>
      <c r="M15" s="508"/>
      <c r="N15" s="957"/>
      <c r="O15" s="437"/>
      <c r="P15" s="1144">
        <f>+E15</f>
        <v>4.5858083034810274E-2</v>
      </c>
      <c r="Q15" s="447" t="s">
        <v>494</v>
      </c>
      <c r="R15" s="140"/>
      <c r="S15" s="40"/>
    </row>
    <row r="16" spans="1:19">
      <c r="A16" s="198">
        <f t="shared" si="0"/>
        <v>7</v>
      </c>
      <c r="C16" s="142" t="s">
        <v>423</v>
      </c>
      <c r="D16" s="364">
        <f>IF(+'SWEPCO TCOS'!H232=0,'SWEPCO TCOS'!G232,'SWEPCO TCOS'!H232)</f>
        <v>0</v>
      </c>
      <c r="E16" s="1145">
        <f>+'SWEPCO TCOS'!J232</f>
        <v>0</v>
      </c>
      <c r="F16" s="1146">
        <f>E16*D16</f>
        <v>0</v>
      </c>
      <c r="G16" s="255"/>
      <c r="H16" s="144"/>
      <c r="I16" s="144"/>
      <c r="J16" s="434"/>
      <c r="K16" s="155"/>
      <c r="L16" s="158" t="s">
        <v>420</v>
      </c>
      <c r="M16" s="158" t="s">
        <v>485</v>
      </c>
      <c r="N16" s="435" t="s">
        <v>421</v>
      </c>
      <c r="O16" s="151"/>
      <c r="P16" s="1144">
        <f>+D16</f>
        <v>0</v>
      </c>
      <c r="Q16" s="447" t="s">
        <v>495</v>
      </c>
      <c r="R16" s="140"/>
      <c r="S16" s="40"/>
    </row>
    <row r="17" spans="1:19">
      <c r="A17" s="198">
        <f t="shared" si="0"/>
        <v>8</v>
      </c>
      <c r="C17" s="142" t="s">
        <v>415</v>
      </c>
      <c r="D17" s="364">
        <f>IF(+'SWEPCO TCOS'!H233=0,'SWEPCO TCOS'!G233,'SWEPCO TCOS'!H233)</f>
        <v>0.46677005319476422</v>
      </c>
      <c r="E17" s="1145">
        <f>+F12</f>
        <v>0.112</v>
      </c>
      <c r="F17" s="1147">
        <f>E17*D17</f>
        <v>5.2278245957813593E-2</v>
      </c>
      <c r="G17" s="256"/>
      <c r="H17" s="144"/>
      <c r="I17" s="144"/>
      <c r="J17" s="438"/>
      <c r="K17" s="40"/>
      <c r="L17" s="40"/>
      <c r="M17" s="40"/>
      <c r="N17" s="436"/>
      <c r="O17" s="151"/>
      <c r="P17" s="1144">
        <f>+E16</f>
        <v>0</v>
      </c>
      <c r="Q17" s="447" t="s">
        <v>496</v>
      </c>
      <c r="R17" s="140"/>
      <c r="S17" s="40"/>
    </row>
    <row r="18" spans="1:19" ht="13.5" thickBot="1">
      <c r="A18" s="198">
        <f t="shared" si="0"/>
        <v>9</v>
      </c>
      <c r="C18" s="149"/>
      <c r="D18" s="216"/>
      <c r="E18" s="260" t="s">
        <v>424</v>
      </c>
      <c r="F18" s="1146">
        <f>SUM(F15:F17)</f>
        <v>7.6731149135055562E-2</v>
      </c>
      <c r="G18" s="255"/>
      <c r="H18" s="441"/>
      <c r="I18" s="144"/>
      <c r="J18" s="958" t="s">
        <v>481</v>
      </c>
      <c r="K18" s="959">
        <f>+'SWEPCO TCOS'!$N$1</f>
        <v>2019</v>
      </c>
      <c r="L18" s="960">
        <f>+P45</f>
        <v>79371230.720164105</v>
      </c>
      <c r="M18" s="960">
        <f>+P46</f>
        <v>79371230.720164105</v>
      </c>
      <c r="N18" s="961">
        <f>+P47</f>
        <v>0</v>
      </c>
      <c r="O18" s="151"/>
      <c r="P18" s="1144">
        <f>+D17</f>
        <v>0.46677005319476422</v>
      </c>
      <c r="Q18" s="448" t="s">
        <v>497</v>
      </c>
      <c r="R18" s="140"/>
      <c r="S18" s="40"/>
    </row>
    <row r="19" spans="1:19">
      <c r="A19" s="198"/>
      <c r="D19" s="143"/>
      <c r="E19" s="143"/>
      <c r="F19" s="144"/>
      <c r="G19" s="144"/>
      <c r="H19" s="144"/>
      <c r="I19" s="144"/>
      <c r="J19" s="962"/>
      <c r="K19" s="962"/>
      <c r="L19" s="962"/>
      <c r="M19" s="962"/>
      <c r="N19" s="962"/>
      <c r="O19" s="148"/>
      <c r="P19" s="1148">
        <f>+E22</f>
        <v>1050959618.4625351</v>
      </c>
      <c r="Q19" s="449" t="str">
        <f>+C22</f>
        <v xml:space="preserve">   Rate Base  (TCOS, ln 62)</v>
      </c>
      <c r="R19" s="138"/>
      <c r="S19" s="40"/>
    </row>
    <row r="20" spans="1:19" ht="15.75">
      <c r="A20" s="198"/>
      <c r="C20" s="206" t="str">
        <f>"B.   Determine Return using 'R' with hypothetical "&amp;F11&amp;" basis point ROE increase for Identified Projects."</f>
        <v>B.   Determine Return using 'R' with hypothetical 0 basis point ROE increase for Identified Projects.</v>
      </c>
      <c r="D20" s="143"/>
      <c r="E20" s="143"/>
      <c r="F20" s="144"/>
      <c r="G20" s="144"/>
      <c r="H20" s="144"/>
      <c r="I20" s="216"/>
      <c r="J20" s="963"/>
      <c r="K20" s="962"/>
      <c r="L20" s="962"/>
      <c r="M20" s="962"/>
      <c r="N20" s="962"/>
      <c r="O20" s="148"/>
      <c r="P20" s="1149">
        <f>+F29</f>
        <v>0.24720900000000001</v>
      </c>
      <c r="Q20" s="436" t="str">
        <f>+C29</f>
        <v xml:space="preserve">   Tax Rate  (TCOS, ln 97)</v>
      </c>
      <c r="R20" s="140"/>
      <c r="S20" s="40"/>
    </row>
    <row r="21" spans="1:19">
      <c r="A21" s="198"/>
      <c r="C21" s="158"/>
      <c r="D21" s="143"/>
      <c r="E21" s="143"/>
      <c r="F21" s="148"/>
      <c r="G21" s="148"/>
      <c r="H21" s="148"/>
      <c r="I21" s="148"/>
      <c r="J21" s="962"/>
      <c r="K21" s="962"/>
      <c r="L21" s="962"/>
      <c r="M21" s="962"/>
      <c r="N21" s="962"/>
      <c r="O21" s="148"/>
      <c r="P21" s="1150">
        <f>+F32</f>
        <v>-264179.59904281434</v>
      </c>
      <c r="Q21" s="436" t="str">
        <f>+C32</f>
        <v xml:space="preserve">   ITC Adjustment  (TCOS, ln 106)</v>
      </c>
      <c r="R21" s="140"/>
      <c r="S21" s="40"/>
    </row>
    <row r="22" spans="1:19">
      <c r="A22" s="198">
        <f>+A18+1</f>
        <v>10</v>
      </c>
      <c r="C22" s="149" t="str">
        <f>"   Rate Base  (TCOS, ln "&amp;'SWEPCO TCOS'!B110&amp;")"</f>
        <v xml:space="preserve">   Rate Base  (TCOS, ln 62)</v>
      </c>
      <c r="D22" s="216"/>
      <c r="E22" s="261">
        <f>+'SWEPCO TCOS'!L110</f>
        <v>1050959618.4625351</v>
      </c>
      <c r="F22" s="145"/>
      <c r="G22" s="145"/>
      <c r="H22" s="148"/>
      <c r="I22" s="148"/>
      <c r="J22" s="962"/>
      <c r="K22" s="962"/>
      <c r="L22" s="962"/>
      <c r="M22" s="962"/>
      <c r="N22" s="962"/>
      <c r="O22" s="148"/>
      <c r="P22" s="1150">
        <f>+F33</f>
        <v>-6875438.2026352603</v>
      </c>
      <c r="Q22" s="436" t="str">
        <f>+C33</f>
        <v xml:space="preserve">   Excess DFIT Adjustment  (TCOS, ln 107)</v>
      </c>
      <c r="R22" s="140"/>
      <c r="S22" s="40"/>
    </row>
    <row r="23" spans="1:19">
      <c r="A23" s="198">
        <f t="shared" si="0"/>
        <v>11</v>
      </c>
      <c r="C23" s="158" t="s">
        <v>383</v>
      </c>
      <c r="D23" s="309"/>
      <c r="E23" s="262">
        <f>F18</f>
        <v>7.6731149135055562E-2</v>
      </c>
      <c r="F23" s="148"/>
      <c r="G23" s="148"/>
      <c r="H23" s="148"/>
      <c r="I23" s="148"/>
      <c r="J23" s="962"/>
      <c r="K23" s="962"/>
      <c r="L23" s="962"/>
      <c r="M23" s="962"/>
      <c r="N23" s="962"/>
      <c r="O23" s="148"/>
      <c r="P23" s="1150">
        <f>+F34</f>
        <v>324711.63975127228</v>
      </c>
      <c r="Q23" s="436" t="str">
        <f>+C34</f>
        <v xml:space="preserve">   Tax Effect of Permanent and Flow Through Differences  (TCOS, ln 108)</v>
      </c>
      <c r="R23" s="140"/>
      <c r="S23" s="40"/>
    </row>
    <row r="24" spans="1:19" ht="15">
      <c r="A24" s="198">
        <f t="shared" si="0"/>
        <v>12</v>
      </c>
      <c r="C24" s="146" t="s">
        <v>425</v>
      </c>
      <c r="D24" s="146"/>
      <c r="E24" s="263">
        <f>E22*E23</f>
        <v>80641339.21916987</v>
      </c>
      <c r="F24" s="148"/>
      <c r="G24" s="148"/>
      <c r="H24" s="148"/>
      <c r="I24" s="148"/>
      <c r="J24" s="21"/>
      <c r="K24" s="21"/>
      <c r="L24" s="21"/>
      <c r="M24" s="21"/>
      <c r="N24" s="49"/>
      <c r="O24" s="151"/>
      <c r="P24" s="1150">
        <f>+F41</f>
        <v>179086935.07937288</v>
      </c>
      <c r="Q24" s="436" t="str">
        <f>+C41</f>
        <v xml:space="preserve">   Net Revenue Requirement  (TCOS, ln 115)</v>
      </c>
      <c r="R24" s="140"/>
      <c r="S24" s="40"/>
    </row>
    <row r="25" spans="1:19" ht="20.25">
      <c r="A25" s="198"/>
      <c r="C25" s="146"/>
      <c r="D25" s="310"/>
      <c r="E25" s="310"/>
      <c r="F25" s="148"/>
      <c r="G25" s="148"/>
      <c r="H25" s="148"/>
      <c r="I25" s="148"/>
      <c r="J25" s="964" t="s">
        <v>150</v>
      </c>
      <c r="K25" s="965" t="s">
        <v>491</v>
      </c>
      <c r="L25" s="966"/>
      <c r="M25" s="966"/>
      <c r="N25" s="582"/>
      <c r="O25" s="151"/>
      <c r="P25" s="1150">
        <f>+F42</f>
        <v>80641339.21916987</v>
      </c>
      <c r="Q25" s="436" t="str">
        <f>+C42</f>
        <v xml:space="preserve">   Return  (TCOS, ln 110)</v>
      </c>
      <c r="R25" s="140"/>
      <c r="S25" s="40"/>
    </row>
    <row r="26" spans="1:19" ht="18">
      <c r="A26" s="198"/>
      <c r="C26" s="206" t="str">
        <f>"C.   Determine Income Taxes using Return with hypothetical "&amp;F11&amp;" basis point ROE increase for Identified Projects."</f>
        <v>C.   Determine Income Taxes using Return with hypothetical 0 basis point ROE increase for Identified Projects.</v>
      </c>
      <c r="D26" s="311"/>
      <c r="E26" s="311"/>
      <c r="F26" s="442"/>
      <c r="G26" s="442"/>
      <c r="H26" s="442"/>
      <c r="I26" s="442"/>
      <c r="J26" s="151"/>
      <c r="K26" s="967" t="s">
        <v>480</v>
      </c>
      <c r="L26" s="968"/>
      <c r="M26" s="968"/>
      <c r="N26" s="582"/>
      <c r="O26" s="443"/>
      <c r="P26" s="1150">
        <f>+F43</f>
        <v>11227601.421406977</v>
      </c>
      <c r="Q26" s="436" t="str">
        <f>+C43</f>
        <v xml:space="preserve">   Income Taxes  (TCOS, ln 109)</v>
      </c>
      <c r="R26" s="140"/>
      <c r="S26" s="40"/>
    </row>
    <row r="27" spans="1:19" ht="14.25" customHeight="1">
      <c r="A27" s="198"/>
      <c r="C27" s="149"/>
      <c r="D27" s="310"/>
      <c r="E27" s="310"/>
      <c r="F27" s="148"/>
      <c r="G27" s="148"/>
      <c r="H27" s="148"/>
      <c r="I27" s="148"/>
      <c r="O27" s="151"/>
      <c r="P27" s="1150">
        <f>+F44</f>
        <v>155463.00046849539</v>
      </c>
      <c r="Q27" s="436" t="str">
        <f>C44</f>
        <v xml:space="preserve">  Gross Margin Taxes  (TCOS, ln 114)</v>
      </c>
      <c r="R27" s="140"/>
      <c r="S27" s="138"/>
    </row>
    <row r="28" spans="1:19" ht="19.5" customHeight="1">
      <c r="A28" s="198">
        <f>+A24+1</f>
        <v>13</v>
      </c>
      <c r="C28" s="158" t="s">
        <v>426</v>
      </c>
      <c r="D28" s="260"/>
      <c r="F28" s="969">
        <f>E24</f>
        <v>80641339.21916987</v>
      </c>
      <c r="G28" s="148"/>
      <c r="H28" s="148"/>
      <c r="I28" s="148"/>
      <c r="O28" s="148"/>
      <c r="P28" s="1150">
        <f>+F54</f>
        <v>43063768.233464815</v>
      </c>
      <c r="Q28" s="436" t="str">
        <f>+C54</f>
        <v xml:space="preserve">   Less: Depreciation  (TCOS, ln 84)</v>
      </c>
      <c r="R28" s="140"/>
      <c r="S28" s="40"/>
    </row>
    <row r="29" spans="1:19">
      <c r="A29" s="198">
        <f t="shared" si="0"/>
        <v>14</v>
      </c>
      <c r="C29" s="149" t="str">
        <f>"   Tax Rate  (TCOS, ln "&amp;'SWEPCO TCOS'!B164&amp;")"</f>
        <v xml:space="preserve">   Tax Rate  (TCOS, ln 97)</v>
      </c>
      <c r="D29" s="260"/>
      <c r="F29" s="164">
        <f>+'SWEPCO TCOS'!G164</f>
        <v>0.24720900000000001</v>
      </c>
      <c r="G29" s="148"/>
      <c r="H29" s="148"/>
      <c r="I29" s="148"/>
      <c r="O29" s="148"/>
      <c r="P29" s="1149">
        <f>+F60</f>
        <v>0.39458224543080939</v>
      </c>
      <c r="Q29" s="436" t="str">
        <f>+C60</f>
        <v xml:space="preserve">       Apportionment Factor to Texas (Worksheet K, ln 12)</v>
      </c>
      <c r="R29" s="140"/>
      <c r="S29" s="40"/>
    </row>
    <row r="30" spans="1:19">
      <c r="A30" s="198">
        <f t="shared" si="0"/>
        <v>15</v>
      </c>
      <c r="C30" s="158" t="s">
        <v>232</v>
      </c>
      <c r="F30" s="139">
        <f>IF(F15&gt;0,($F29/(1-$F29))*(1-$F15/$F18),0)</f>
        <v>0.22373769778670485</v>
      </c>
      <c r="P30" s="1150">
        <f>+F70</f>
        <v>1321926041.0705667</v>
      </c>
      <c r="Q30" s="436" t="str">
        <f>+C70</f>
        <v xml:space="preserve">   Net Transmission Plant  (TCOS, ln 37)</v>
      </c>
      <c r="R30" s="140"/>
      <c r="S30" s="40"/>
    </row>
    <row r="31" spans="1:19">
      <c r="A31" s="198">
        <f t="shared" si="0"/>
        <v>16</v>
      </c>
      <c r="C31" s="146" t="s">
        <v>233</v>
      </c>
      <c r="F31" s="207">
        <f>F28*F30</f>
        <v>18042507.583333779</v>
      </c>
      <c r="P31" s="1151">
        <f>+F76</f>
        <v>0.10289771335145892</v>
      </c>
      <c r="Q31" s="450" t="str">
        <f>+C76</f>
        <v xml:space="preserve">   FCR less Depreciation  (TCOS, ln 10)</v>
      </c>
      <c r="R31" s="140"/>
      <c r="S31" s="147"/>
    </row>
    <row r="32" spans="1:19" ht="15">
      <c r="A32" s="198">
        <f t="shared" si="0"/>
        <v>17</v>
      </c>
      <c r="C32" s="149" t="str">
        <f>"   ITC Adjustment  (TCOS, ln "&amp;'SWEPCO TCOS'!B174&amp;")"</f>
        <v xml:space="preserve">   ITC Adjustment  (TCOS, ln 106)</v>
      </c>
      <c r="D32" s="21"/>
      <c r="F32" s="148">
        <f>+'SWEPCO TCOS'!L174</f>
        <v>-264179.59904281434</v>
      </c>
      <c r="G32" s="21"/>
      <c r="H32" s="21"/>
      <c r="I32" s="21"/>
      <c r="O32" s="21"/>
      <c r="P32" s="1152">
        <f>+F80</f>
        <v>1845274304.95191</v>
      </c>
      <c r="Q32" s="447" t="str">
        <f>+C80</f>
        <v>Transmission Plant @ Beginning of Period (Worksheet A ln 9 col. ((D))</v>
      </c>
      <c r="R32" s="140"/>
      <c r="S32" s="138"/>
    </row>
    <row r="33" spans="1:19" ht="15">
      <c r="A33" s="198">
        <f t="shared" si="0"/>
        <v>18</v>
      </c>
      <c r="C33" s="149" t="str">
        <f>"   Excess DFIT Adjustment  (TCOS, ln "&amp;'SWEPCO TCOS'!B175&amp;")"</f>
        <v xml:space="preserve">   Excess DFIT Adjustment  (TCOS, ln 107)</v>
      </c>
      <c r="D33" s="21"/>
      <c r="F33" s="148">
        <f>+'SWEPCO TCOS'!L175</f>
        <v>-6875438.2026352603</v>
      </c>
      <c r="G33" s="21"/>
      <c r="H33" s="21"/>
      <c r="I33" s="21"/>
      <c r="O33" s="21"/>
      <c r="P33" s="1152">
        <f>+F81</f>
        <v>2008632153.7638299</v>
      </c>
      <c r="Q33" s="448" t="str">
        <f>+C81</f>
        <v>Transmission Plant @ End of Period (Worksheet A ln 9 col. ((C))</v>
      </c>
      <c r="R33" s="140"/>
      <c r="S33" s="138"/>
    </row>
    <row r="34" spans="1:19" ht="15">
      <c r="A34" s="198">
        <f t="shared" si="0"/>
        <v>19</v>
      </c>
      <c r="C34" s="149" t="str">
        <f>"   Tax Effect of Permanent and Flow Through Differences  (TCOS, ln "&amp;'SWEPCO TCOS'!B176&amp;")"</f>
        <v xml:space="preserve">   Tax Effect of Permanent and Flow Through Differences  (TCOS, ln 108)</v>
      </c>
      <c r="D34" s="21"/>
      <c r="F34" s="148">
        <f>+'SWEPCO TCOS'!L176</f>
        <v>324711.63975127228</v>
      </c>
      <c r="G34" s="21"/>
      <c r="H34" s="21"/>
      <c r="I34" s="21"/>
      <c r="O34" s="21"/>
      <c r="P34" s="1152">
        <f>+F83</f>
        <v>1926953229.3578701</v>
      </c>
      <c r="Q34" s="451" t="str">
        <f>+C83</f>
        <v xml:space="preserve">Transmission Plant Average Balance for 2019 </v>
      </c>
      <c r="R34" s="140"/>
      <c r="S34" s="138"/>
    </row>
    <row r="35" spans="1:19" ht="15.75" thickBot="1">
      <c r="A35" s="198">
        <f t="shared" si="0"/>
        <v>20</v>
      </c>
      <c r="C35" s="146" t="s">
        <v>427</v>
      </c>
      <c r="D35" s="21"/>
      <c r="F35" s="660">
        <f>+SUM(F31:F34)</f>
        <v>11227601.421406977</v>
      </c>
      <c r="G35" s="21"/>
      <c r="H35" s="21"/>
      <c r="I35" s="21"/>
      <c r="O35" s="21"/>
      <c r="P35" s="440">
        <f>+F84</f>
        <v>45165575.882299401</v>
      </c>
      <c r="Q35" s="452" t="str">
        <f>+C84</f>
        <v>Annual Depreciation Expense  (TCOS, ln 84)</v>
      </c>
    </row>
    <row r="36" spans="1:19" ht="12.75" customHeight="1">
      <c r="A36" s="198"/>
      <c r="C36" s="16"/>
      <c r="D36" s="21"/>
      <c r="E36" s="21"/>
      <c r="F36" s="21"/>
      <c r="G36" s="21"/>
      <c r="H36" s="21"/>
      <c r="I36" s="21"/>
      <c r="O36" s="21"/>
      <c r="P36" s="38"/>
    </row>
    <row r="37" spans="1:19" ht="18.75">
      <c r="A37" s="198"/>
      <c r="B37" s="136" t="s">
        <v>348</v>
      </c>
      <c r="C37" s="137" t="str">
        <f>"Calculate Net Plant Carrying Charge Rate (Fixed Charge Rate or FCR) with hypothetical "&amp;F11&amp;" basis point"</f>
        <v>Calculate Net Plant Carrying Charge Rate (Fixed Charge Rate or FCR) with hypothetical 0 basis point</v>
      </c>
      <c r="D37" s="21"/>
      <c r="E37" s="21"/>
      <c r="F37" s="21"/>
      <c r="G37" s="21"/>
      <c r="H37" s="21"/>
      <c r="I37" s="21"/>
      <c r="O37" s="21"/>
      <c r="P37" s="38"/>
    </row>
    <row r="38" spans="1:19" ht="18.75" customHeight="1">
      <c r="A38" s="198"/>
      <c r="B38" s="136"/>
      <c r="C38" s="137" t="str">
        <f>"ROE increase."</f>
        <v>ROE increase.</v>
      </c>
      <c r="D38" s="21"/>
      <c r="E38" s="21"/>
      <c r="F38" s="21"/>
      <c r="G38" s="21"/>
      <c r="H38" s="21"/>
      <c r="I38" s="21"/>
      <c r="O38" s="21"/>
      <c r="P38" s="194" t="s">
        <v>196</v>
      </c>
      <c r="Q38" s="363" t="s">
        <v>489</v>
      </c>
    </row>
    <row r="39" spans="1:19" ht="12.75" customHeight="1">
      <c r="A39" s="198"/>
      <c r="C39" s="16"/>
      <c r="D39" s="21"/>
      <c r="E39" s="21"/>
      <c r="F39" s="21"/>
      <c r="G39" s="21"/>
      <c r="H39" s="21"/>
      <c r="I39" s="21"/>
      <c r="O39" s="21"/>
      <c r="P39" s="38"/>
    </row>
    <row r="40" spans="1:19" ht="15.75">
      <c r="A40" s="198"/>
      <c r="C40" s="206" t="s">
        <v>175</v>
      </c>
      <c r="D40" s="21"/>
      <c r="E40" s="21"/>
      <c r="F40" s="20"/>
      <c r="G40" s="20"/>
      <c r="H40" s="21"/>
      <c r="I40" s="21"/>
      <c r="O40" s="21"/>
      <c r="P40" s="38"/>
    </row>
    <row r="41" spans="1:19" ht="12.75" customHeight="1">
      <c r="A41" s="198">
        <f>+A35+1</f>
        <v>21</v>
      </c>
      <c r="C41" s="149" t="str">
        <f>"   Net Revenue Requirement  (TCOS, ln "&amp;'SWEPCO TCOS'!B189&amp;")"</f>
        <v xml:space="preserve">   Net Revenue Requirement  (TCOS, ln 115)</v>
      </c>
      <c r="D41" s="150"/>
      <c r="E41" s="150"/>
      <c r="F41" s="148">
        <f>+'SWEPCO TCOS'!L189</f>
        <v>179086935.07937288</v>
      </c>
      <c r="G41" s="148"/>
      <c r="H41" s="150"/>
      <c r="I41" s="150"/>
      <c r="J41" s="150"/>
      <c r="K41" s="150"/>
      <c r="L41" s="150"/>
      <c r="M41" s="150"/>
      <c r="N41" s="148"/>
      <c r="O41" s="150"/>
      <c r="P41" s="363" t="s">
        <v>197</v>
      </c>
      <c r="Q41" s="363" t="s">
        <v>489</v>
      </c>
    </row>
    <row r="42" spans="1:19">
      <c r="A42" s="198">
        <f t="shared" si="0"/>
        <v>22</v>
      </c>
      <c r="C42" s="149" t="str">
        <f>"   Return  (TCOS, ln "&amp;'SWEPCO TCOS'!B180&amp;")"</f>
        <v xml:space="preserve">   Return  (TCOS, ln 110)</v>
      </c>
      <c r="D42" s="150"/>
      <c r="E42" s="150"/>
      <c r="F42" s="151">
        <f>+'SWEPCO TCOS'!L180</f>
        <v>80641339.21916987</v>
      </c>
      <c r="G42" s="151"/>
      <c r="H42" s="152"/>
      <c r="I42" s="152"/>
      <c r="J42" s="152"/>
      <c r="K42" s="152"/>
      <c r="L42" s="152"/>
      <c r="M42" s="152"/>
      <c r="N42" s="148"/>
      <c r="O42" s="152"/>
      <c r="P42" s="363"/>
      <c r="Q42" s="194"/>
    </row>
    <row r="43" spans="1:19">
      <c r="A43" s="198">
        <f t="shared" si="0"/>
        <v>23</v>
      </c>
      <c r="C43" s="149" t="str">
        <f>"   Income Taxes  (TCOS, ln "&amp;'SWEPCO TCOS'!B178&amp;")"</f>
        <v xml:space="preserve">   Income Taxes  (TCOS, ln 109)</v>
      </c>
      <c r="D43" s="150"/>
      <c r="E43" s="150"/>
      <c r="F43" s="148">
        <f>+'SWEPCO TCOS'!L178</f>
        <v>11227601.421406977</v>
      </c>
      <c r="G43" s="148"/>
      <c r="H43" s="150"/>
      <c r="I43" s="150"/>
      <c r="J43" s="154"/>
      <c r="K43" s="154"/>
      <c r="L43" s="154"/>
      <c r="M43" s="154"/>
      <c r="N43" s="150"/>
      <c r="O43" s="154"/>
      <c r="P43" s="592" t="s">
        <v>193</v>
      </c>
      <c r="Q43" s="590" t="s">
        <v>194</v>
      </c>
    </row>
    <row r="44" spans="1:19" ht="13.5" thickBot="1">
      <c r="A44" s="198">
        <f t="shared" si="0"/>
        <v>24</v>
      </c>
      <c r="C44" s="149" t="str">
        <f>"  Gross Margin Taxes  (TCOS, ln "&amp;'SWEPCO TCOS'!B187&amp;")"</f>
        <v xml:space="preserve">  Gross Margin Taxes  (TCOS, ln 114)</v>
      </c>
      <c r="D44" s="150"/>
      <c r="E44" s="150"/>
      <c r="F44" s="204">
        <f>+'SWEPCO TCOS'!L187</f>
        <v>155463.00046849539</v>
      </c>
      <c r="G44" s="148"/>
      <c r="H44" s="150"/>
      <c r="I44" s="150"/>
      <c r="J44" s="154"/>
      <c r="K44" s="154"/>
      <c r="L44" s="154"/>
      <c r="M44" s="154"/>
      <c r="N44" s="150"/>
      <c r="O44" s="154"/>
      <c r="P44" s="591" t="s">
        <v>86</v>
      </c>
      <c r="Q44" s="588"/>
    </row>
    <row r="45" spans="1:19">
      <c r="A45" s="198">
        <f t="shared" si="0"/>
        <v>25</v>
      </c>
      <c r="C45" s="40" t="s">
        <v>36</v>
      </c>
      <c r="D45" s="150"/>
      <c r="E45" s="150"/>
      <c r="F45" s="151">
        <f>F41-F42-F43-F44</f>
        <v>87062531.438327551</v>
      </c>
      <c r="G45" s="151"/>
      <c r="H45" s="155"/>
      <c r="I45" s="150"/>
      <c r="J45" s="155"/>
      <c r="K45" s="155"/>
      <c r="L45" s="155"/>
      <c r="M45" s="155"/>
      <c r="N45" s="155"/>
      <c r="O45" s="155"/>
      <c r="P45" s="1381">
        <v>79371230.720164105</v>
      </c>
      <c r="Q45" s="588" t="s">
        <v>190</v>
      </c>
    </row>
    <row r="46" spans="1:19" s="40" customFormat="1">
      <c r="A46" s="198"/>
      <c r="B46" s="38"/>
      <c r="C46" s="149"/>
      <c r="D46" s="150"/>
      <c r="E46" s="150"/>
      <c r="F46" s="148"/>
      <c r="G46" s="148"/>
      <c r="H46" s="156"/>
      <c r="I46" s="157"/>
      <c r="J46" s="157"/>
      <c r="K46" s="157"/>
      <c r="L46" s="157"/>
      <c r="M46" s="157"/>
      <c r="N46" s="157"/>
      <c r="O46" s="157"/>
      <c r="P46" s="1382">
        <v>79371230.720164105</v>
      </c>
      <c r="Q46" s="588" t="s">
        <v>191</v>
      </c>
      <c r="R46" s="38"/>
      <c r="S46" s="38"/>
    </row>
    <row r="47" spans="1:19" s="40" customFormat="1" ht="16.5" thickBot="1">
      <c r="A47" s="198"/>
      <c r="B47" s="38"/>
      <c r="C47" s="206" t="str">
        <f>"B.   Determine Net Revenue Requirement with hypothetical "&amp;F11&amp;" basis point increase in ROE."</f>
        <v>B.   Determine Net Revenue Requirement with hypothetical 0 basis point increase in ROE.</v>
      </c>
      <c r="D47" s="158"/>
      <c r="E47" s="158"/>
      <c r="F47" s="148"/>
      <c r="G47" s="148"/>
      <c r="H47" s="156"/>
      <c r="I47" s="157"/>
      <c r="J47" s="157"/>
      <c r="K47" s="157"/>
      <c r="L47" s="157"/>
      <c r="M47" s="157"/>
      <c r="N47" s="157"/>
      <c r="O47" s="157"/>
      <c r="P47" s="1359">
        <v>0</v>
      </c>
      <c r="Q47" s="588" t="s">
        <v>192</v>
      </c>
      <c r="R47" s="38"/>
      <c r="S47" s="38"/>
    </row>
    <row r="48" spans="1:19" s="40" customFormat="1">
      <c r="A48" s="198">
        <f>+A45+1</f>
        <v>26</v>
      </c>
      <c r="B48" s="38"/>
      <c r="C48" s="149" t="str">
        <f>C45</f>
        <v xml:space="preserve">   Net Revenue Requirement, Less Return and Taxes</v>
      </c>
      <c r="D48" s="158"/>
      <c r="E48" s="158"/>
      <c r="F48" s="148">
        <f>F45</f>
        <v>87062531.438327551</v>
      </c>
      <c r="G48" s="148"/>
      <c r="H48" s="150"/>
      <c r="I48" s="150"/>
      <c r="J48" s="150"/>
      <c r="K48" s="150"/>
      <c r="L48" s="150"/>
      <c r="M48" s="150"/>
      <c r="N48" s="159"/>
      <c r="O48" s="150"/>
      <c r="Q48" s="38"/>
      <c r="R48" s="38"/>
      <c r="S48" s="38"/>
    </row>
    <row r="49" spans="1:19" s="40" customFormat="1">
      <c r="A49" s="198">
        <f t="shared" si="0"/>
        <v>27</v>
      </c>
      <c r="B49" s="38"/>
      <c r="C49" s="158" t="s">
        <v>435</v>
      </c>
      <c r="D49" s="160"/>
      <c r="F49" s="161">
        <f>E24</f>
        <v>80641339.21916987</v>
      </c>
      <c r="G49" s="161"/>
      <c r="I49" s="1126"/>
      <c r="Q49" s="38"/>
      <c r="R49" s="38"/>
      <c r="S49" s="38"/>
    </row>
    <row r="50" spans="1:19" s="40" customFormat="1" ht="12.75" customHeight="1">
      <c r="A50" s="198">
        <f t="shared" si="0"/>
        <v>28</v>
      </c>
      <c r="B50" s="38"/>
      <c r="C50" s="149" t="s">
        <v>428</v>
      </c>
      <c r="D50" s="150"/>
      <c r="E50" s="150"/>
      <c r="F50" s="248">
        <f>F35</f>
        <v>11227601.421406977</v>
      </c>
      <c r="G50" s="153"/>
      <c r="H50" s="38"/>
      <c r="I50" s="1101"/>
      <c r="J50" s="38"/>
      <c r="K50" s="38"/>
      <c r="L50" s="38"/>
      <c r="M50" s="38"/>
      <c r="N50" s="38"/>
      <c r="Q50" s="38"/>
      <c r="R50" s="38"/>
      <c r="S50" s="38"/>
    </row>
    <row r="51" spans="1:19" s="40" customFormat="1">
      <c r="A51" s="198">
        <f t="shared" si="0"/>
        <v>29</v>
      </c>
      <c r="B51" s="38"/>
      <c r="C51" s="40" t="str">
        <f>"   Net Revenue Requirement, with "&amp;F11&amp;" Basis Point ROE increase"</f>
        <v xml:space="preserve">   Net Revenue Requirement, with 0 Basis Point ROE increase</v>
      </c>
      <c r="D51" s="198"/>
      <c r="E51" s="38"/>
      <c r="F51" s="207">
        <f>SUM(F48:F50)</f>
        <v>178931472.07890439</v>
      </c>
      <c r="G51" s="207"/>
      <c r="H51" s="38"/>
      <c r="I51" s="1101"/>
      <c r="J51" s="38"/>
      <c r="K51" s="38"/>
      <c r="L51" s="38"/>
      <c r="M51" s="38"/>
      <c r="N51" s="38"/>
      <c r="Q51" s="38"/>
      <c r="R51" s="38"/>
      <c r="S51" s="38"/>
    </row>
    <row r="52" spans="1:19" s="40" customFormat="1">
      <c r="A52" s="198">
        <f t="shared" si="0"/>
        <v>30</v>
      </c>
      <c r="B52" s="38"/>
      <c r="C52" s="147" t="str">
        <f>"   Gross Margin Tax with "&amp;F88&amp;" Basis Point ROE Increase (II C. below)"</f>
        <v xml:space="preserve">   Gross Margin Tax with  Basis Point ROE Increase (II C. below)</v>
      </c>
      <c r="D52" s="163"/>
      <c r="E52" s="163"/>
      <c r="F52" s="205">
        <f>+F67</f>
        <v>155463.00046849539</v>
      </c>
      <c r="G52" s="161"/>
      <c r="H52" s="38"/>
      <c r="I52" s="1101"/>
      <c r="J52" s="38"/>
      <c r="K52" s="38"/>
      <c r="L52" s="38"/>
      <c r="M52" s="38"/>
      <c r="N52" s="38"/>
      <c r="Q52" s="38"/>
      <c r="R52" s="38"/>
      <c r="S52" s="38"/>
    </row>
    <row r="53" spans="1:19" s="40" customFormat="1">
      <c r="A53" s="198">
        <f t="shared" si="0"/>
        <v>31</v>
      </c>
      <c r="B53" s="38"/>
      <c r="C53" s="40" t="s">
        <v>37</v>
      </c>
      <c r="D53" s="198"/>
      <c r="E53" s="38"/>
      <c r="F53" s="161">
        <f>+F51+F52</f>
        <v>179086935.07937288</v>
      </c>
      <c r="G53" s="161"/>
      <c r="H53" s="38"/>
      <c r="I53" s="1101"/>
      <c r="J53" s="38"/>
      <c r="K53" s="38"/>
      <c r="L53" s="38"/>
      <c r="M53" s="38"/>
      <c r="N53" s="38"/>
      <c r="Q53" s="38"/>
      <c r="R53" s="38"/>
      <c r="S53" s="38"/>
    </row>
    <row r="54" spans="1:19" s="40" customFormat="1">
      <c r="A54" s="198">
        <f t="shared" si="0"/>
        <v>32</v>
      </c>
      <c r="B54" s="38"/>
      <c r="C54" s="149" t="str">
        <f>"   Less: Depreciation  (TCOS, ln "&amp;'SWEPCO TCOS'!B149&amp;")"</f>
        <v xml:space="preserve">   Less: Depreciation  (TCOS, ln 84)</v>
      </c>
      <c r="D54" s="198"/>
      <c r="E54" s="38"/>
      <c r="F54" s="264">
        <f>+'SWEPCO TCOS'!L149</f>
        <v>43063768.233464815</v>
      </c>
      <c r="G54" s="264"/>
      <c r="H54" s="38"/>
      <c r="I54" s="1101"/>
      <c r="J54" s="38"/>
      <c r="K54" s="38"/>
      <c r="L54" s="38"/>
      <c r="M54" s="38"/>
      <c r="N54" s="38"/>
      <c r="Q54" s="38"/>
      <c r="R54" s="38"/>
      <c r="S54" s="38"/>
    </row>
    <row r="55" spans="1:19" s="40" customFormat="1">
      <c r="A55" s="198">
        <f t="shared" si="0"/>
        <v>33</v>
      </c>
      <c r="B55" s="38"/>
      <c r="C55" s="40" t="str">
        <f>"   Net Rev. Req, w/"&amp;F11&amp;" Basis Point ROE increase, less Depreciation"</f>
        <v xml:space="preserve">   Net Rev. Req, w/0 Basis Point ROE increase, less Depreciation</v>
      </c>
      <c r="D55" s="198"/>
      <c r="E55" s="38"/>
      <c r="F55" s="207">
        <f>F53-F54</f>
        <v>136023166.84590808</v>
      </c>
      <c r="G55" s="207"/>
      <c r="H55" s="38"/>
      <c r="I55" s="1101"/>
      <c r="J55" s="38"/>
      <c r="K55" s="38"/>
      <c r="L55" s="38"/>
      <c r="M55" s="38"/>
      <c r="N55" s="38"/>
      <c r="Q55" s="38"/>
      <c r="R55" s="38"/>
      <c r="S55" s="38"/>
    </row>
    <row r="56" spans="1:19" s="40" customFormat="1">
      <c r="A56" s="198"/>
      <c r="B56" s="38"/>
      <c r="C56" s="38"/>
      <c r="D56" s="198"/>
      <c r="E56" s="38"/>
      <c r="F56" s="38"/>
      <c r="G56" s="38"/>
      <c r="H56" s="38"/>
      <c r="I56" s="1101"/>
      <c r="J56" s="38"/>
      <c r="K56" s="38"/>
      <c r="L56" s="38"/>
      <c r="M56" s="38"/>
      <c r="N56" s="38"/>
      <c r="Q56" s="38"/>
      <c r="R56" s="38"/>
      <c r="S56" s="38"/>
    </row>
    <row r="57" spans="1:19" s="40" customFormat="1" ht="15.75">
      <c r="A57" s="198"/>
      <c r="B57" s="38"/>
      <c r="C57" s="206" t="str">
        <f>"C.   Determine Gross Margin Tax with hypothetical "&amp;F11&amp;" basis point increase in ROE."</f>
        <v>C.   Determine Gross Margin Tax with hypothetical 0 basis point increase in ROE.</v>
      </c>
      <c r="D57" s="163"/>
      <c r="E57" s="163"/>
      <c r="F57" s="207"/>
      <c r="G57" s="207"/>
      <c r="H57" s="38"/>
      <c r="I57" s="1101"/>
      <c r="J57" s="38"/>
      <c r="K57" s="38"/>
      <c r="L57" s="38"/>
      <c r="M57" s="38"/>
      <c r="N57" s="38"/>
      <c r="Q57" s="38"/>
      <c r="R57" s="38"/>
      <c r="S57" s="38"/>
    </row>
    <row r="58" spans="1:19" s="40" customFormat="1">
      <c r="A58" s="198">
        <f>+A55+1</f>
        <v>34</v>
      </c>
      <c r="B58" s="38"/>
      <c r="C58" s="147" t="str">
        <f>"   Net Revenue Requirement before Gross Margin Taxes, with "&amp;F11&amp;" "</f>
        <v xml:space="preserve">   Net Revenue Requirement before Gross Margin Taxes, with 0 </v>
      </c>
      <c r="D58" s="163"/>
      <c r="E58" s="163"/>
      <c r="F58" s="207">
        <f>+F51</f>
        <v>178931472.07890439</v>
      </c>
      <c r="G58" s="207"/>
      <c r="H58" s="38"/>
      <c r="I58" s="1101"/>
      <c r="J58" s="38"/>
      <c r="K58" s="38"/>
      <c r="L58" s="38"/>
      <c r="M58" s="38"/>
      <c r="N58" s="38"/>
      <c r="Q58" s="38"/>
      <c r="R58" s="38"/>
      <c r="S58" s="38"/>
    </row>
    <row r="59" spans="1:19" s="40" customFormat="1">
      <c r="A59" s="198">
        <f t="shared" si="0"/>
        <v>35</v>
      </c>
      <c r="B59" s="38"/>
      <c r="C59" s="147" t="s">
        <v>38</v>
      </c>
      <c r="D59" s="163"/>
      <c r="E59" s="163"/>
      <c r="F59" s="207"/>
      <c r="G59" s="207"/>
      <c r="H59" s="38"/>
      <c r="I59" s="1101"/>
      <c r="J59" s="38"/>
      <c r="K59" s="38"/>
      <c r="L59" s="38"/>
      <c r="M59" s="38"/>
      <c r="N59" s="38"/>
      <c r="Q59" s="38"/>
      <c r="R59" s="38"/>
      <c r="S59" s="38"/>
    </row>
    <row r="60" spans="1:19" s="40" customFormat="1">
      <c r="A60" s="198">
        <f t="shared" si="0"/>
        <v>36</v>
      </c>
      <c r="B60" s="38"/>
      <c r="C60" s="40" t="str">
        <f>"       Apportionment Factor to Texas (Worksheet K, ln "&amp;'SWEPCO WS K State Taxes'!A52&amp;")"</f>
        <v xml:space="preserve">       Apportionment Factor to Texas (Worksheet K, ln 12)</v>
      </c>
      <c r="D60" s="198"/>
      <c r="E60" s="38"/>
      <c r="F60" s="208">
        <f>+'SWEPCO WS K State Taxes'!E52</f>
        <v>0.39458224543080939</v>
      </c>
      <c r="G60" s="164"/>
      <c r="H60" s="38"/>
      <c r="I60" s="1101"/>
      <c r="J60" s="38"/>
      <c r="K60" s="38"/>
      <c r="L60" s="38"/>
      <c r="M60" s="38"/>
      <c r="N60" s="38"/>
      <c r="Q60" s="38"/>
      <c r="R60" s="38"/>
      <c r="S60" s="38"/>
    </row>
    <row r="61" spans="1:19" s="1101" customFormat="1">
      <c r="A61" s="198">
        <f t="shared" si="0"/>
        <v>37</v>
      </c>
      <c r="B61" s="38"/>
      <c r="C61" s="40" t="s">
        <v>39</v>
      </c>
      <c r="D61" s="198"/>
      <c r="E61" s="38"/>
      <c r="F61" s="207">
        <f>+F60*F58</f>
        <v>70603182.031134263</v>
      </c>
      <c r="G61" s="207"/>
      <c r="H61" s="38"/>
      <c r="J61" s="38"/>
      <c r="K61" s="38"/>
      <c r="L61" s="38"/>
      <c r="M61" s="38"/>
      <c r="N61" s="38"/>
      <c r="O61" s="40"/>
      <c r="P61" s="40"/>
      <c r="Q61" s="38"/>
      <c r="R61" s="38"/>
      <c r="S61" s="38"/>
    </row>
    <row r="62" spans="1:19" s="1101" customFormat="1">
      <c r="A62" s="198">
        <f t="shared" si="0"/>
        <v>38</v>
      </c>
      <c r="B62" s="38"/>
      <c r="C62" s="40" t="s">
        <v>1429</v>
      </c>
      <c r="D62" s="198"/>
      <c r="E62" s="38"/>
      <c r="F62" s="1385">
        <v>0.22</v>
      </c>
      <c r="G62" s="1349"/>
      <c r="H62" s="38"/>
      <c r="J62" s="38"/>
      <c r="K62" s="38"/>
      <c r="L62" s="38"/>
      <c r="M62" s="38"/>
      <c r="N62" s="38"/>
      <c r="O62" s="40"/>
      <c r="P62" s="40"/>
      <c r="Q62" s="38"/>
      <c r="R62" s="38"/>
      <c r="S62" s="38"/>
    </row>
    <row r="63" spans="1:19" s="1101" customFormat="1">
      <c r="A63" s="198">
        <f t="shared" si="0"/>
        <v>39</v>
      </c>
      <c r="B63" s="38"/>
      <c r="C63" s="40" t="s">
        <v>40</v>
      </c>
      <c r="D63" s="198"/>
      <c r="E63" s="38"/>
      <c r="F63" s="1386">
        <f>+F61*F62</f>
        <v>15532700.046849538</v>
      </c>
      <c r="G63" s="207"/>
      <c r="H63" s="38"/>
      <c r="J63" s="38"/>
      <c r="K63" s="38"/>
      <c r="L63" s="38"/>
      <c r="M63" s="38"/>
      <c r="N63" s="38"/>
      <c r="O63" s="40"/>
      <c r="P63" s="40"/>
      <c r="Q63" s="38"/>
      <c r="R63" s="38"/>
      <c r="S63" s="38"/>
    </row>
    <row r="64" spans="1:19" s="1101" customFormat="1">
      <c r="A64" s="198">
        <f t="shared" si="0"/>
        <v>40</v>
      </c>
      <c r="B64" s="38"/>
      <c r="C64" s="40" t="s">
        <v>41</v>
      </c>
      <c r="D64" s="198"/>
      <c r="E64" s="38"/>
      <c r="F64" s="1385">
        <v>0.01</v>
      </c>
      <c r="G64" s="1349"/>
      <c r="H64" s="38"/>
      <c r="J64" s="38"/>
      <c r="K64" s="38"/>
      <c r="L64" s="38"/>
      <c r="M64" s="38"/>
      <c r="N64" s="38"/>
      <c r="O64" s="40"/>
      <c r="P64" s="40"/>
      <c r="Q64" s="38"/>
      <c r="R64" s="38"/>
      <c r="S64" s="38"/>
    </row>
    <row r="65" spans="1:19" s="1101" customFormat="1">
      <c r="A65" s="198">
        <f t="shared" si="0"/>
        <v>41</v>
      </c>
      <c r="B65" s="38"/>
      <c r="C65" s="40" t="s">
        <v>42</v>
      </c>
      <c r="D65" s="198"/>
      <c r="E65" s="38"/>
      <c r="F65" s="207">
        <f>+F63*F64</f>
        <v>155327.00046849539</v>
      </c>
      <c r="G65" s="207"/>
      <c r="H65" s="38"/>
      <c r="J65" s="38"/>
      <c r="K65" s="38"/>
      <c r="L65" s="38"/>
      <c r="M65" s="38"/>
      <c r="N65" s="38"/>
      <c r="O65" s="40"/>
      <c r="P65" s="40"/>
      <c r="Q65" s="38"/>
      <c r="R65" s="38"/>
      <c r="S65" s="38"/>
    </row>
    <row r="66" spans="1:19" s="1101" customFormat="1">
      <c r="A66" s="198">
        <f t="shared" si="0"/>
        <v>42</v>
      </c>
      <c r="B66" s="38"/>
      <c r="C66" s="40" t="s">
        <v>43</v>
      </c>
      <c r="D66" s="198"/>
      <c r="E66" s="38"/>
      <c r="F66" s="1153">
        <f>+ROUND((F65*F62*F60)/(1-F64)*F64,0)</f>
        <v>136</v>
      </c>
      <c r="G66" s="1154"/>
      <c r="H66" s="38"/>
      <c r="J66" s="38"/>
      <c r="K66" s="38"/>
      <c r="L66" s="38"/>
      <c r="M66" s="38"/>
      <c r="N66" s="38"/>
      <c r="O66" s="40"/>
      <c r="P66" s="40"/>
      <c r="Q66" s="38"/>
      <c r="R66" s="38"/>
      <c r="S66" s="38"/>
    </row>
    <row r="67" spans="1:19" s="1101" customFormat="1">
      <c r="A67" s="198">
        <f t="shared" si="0"/>
        <v>43</v>
      </c>
      <c r="B67" s="38"/>
      <c r="C67" s="40" t="s">
        <v>44</v>
      </c>
      <c r="D67" s="198"/>
      <c r="E67" s="38"/>
      <c r="F67" s="207">
        <f>+F65+F66</f>
        <v>155463.00046849539</v>
      </c>
      <c r="G67" s="207"/>
      <c r="H67" s="38"/>
      <c r="J67" s="38"/>
      <c r="K67" s="38"/>
      <c r="L67" s="38"/>
      <c r="M67" s="38"/>
      <c r="N67" s="38"/>
      <c r="O67" s="40"/>
      <c r="P67" s="40"/>
      <c r="Q67" s="38"/>
      <c r="R67" s="38"/>
      <c r="S67" s="38"/>
    </row>
    <row r="68" spans="1:19" s="1101" customFormat="1">
      <c r="A68" s="198"/>
      <c r="B68" s="38"/>
      <c r="C68" s="38"/>
      <c r="D68" s="198"/>
      <c r="E68" s="38"/>
      <c r="F68" s="38"/>
      <c r="G68" s="38"/>
      <c r="H68" s="38"/>
      <c r="J68" s="38"/>
      <c r="K68" s="38"/>
      <c r="L68" s="38"/>
      <c r="M68" s="38"/>
      <c r="N68" s="38"/>
      <c r="O68" s="40"/>
      <c r="P68" s="40"/>
      <c r="Q68" s="38"/>
      <c r="R68" s="38"/>
      <c r="S68" s="38"/>
    </row>
    <row r="69" spans="1:19" s="1101" customFormat="1" ht="15.75">
      <c r="A69" s="198"/>
      <c r="B69" s="38"/>
      <c r="C69" s="206" t="str">
        <f>"D.   Determine FCR with hypothetical "&amp;F11&amp;" basis point ROE increase."</f>
        <v>D.   Determine FCR with hypothetical 0 basis point ROE increase.</v>
      </c>
      <c r="D69" s="198"/>
      <c r="E69" s="38"/>
      <c r="F69" s="38"/>
      <c r="G69" s="38"/>
      <c r="H69" s="38"/>
      <c r="J69" s="38"/>
      <c r="K69" s="38"/>
      <c r="L69" s="38"/>
      <c r="M69" s="38"/>
      <c r="N69" s="38"/>
      <c r="O69" s="40"/>
      <c r="P69" s="40"/>
      <c r="Q69" s="38"/>
      <c r="R69" s="38"/>
      <c r="S69" s="38"/>
    </row>
    <row r="70" spans="1:19" s="1101" customFormat="1">
      <c r="A70" s="198">
        <f>+A67+1</f>
        <v>44</v>
      </c>
      <c r="B70" s="38"/>
      <c r="C70" s="149" t="str">
        <f>"   Net Transmission Plant  (TCOS, ln "&amp;'SWEPCO TCOS'!B78&amp;")"</f>
        <v xml:space="preserve">   Net Transmission Plant  (TCOS, ln 37)</v>
      </c>
      <c r="D70" s="198"/>
      <c r="E70" s="38"/>
      <c r="F70" s="207">
        <f>+'SWEPCO TCOS'!L78</f>
        <v>1321926041.0705667</v>
      </c>
      <c r="G70" s="207"/>
      <c r="H70" s="38"/>
      <c r="J70" s="38"/>
      <c r="K70" s="38"/>
      <c r="L70" s="38"/>
      <c r="M70" s="38"/>
      <c r="N70" s="38"/>
      <c r="O70" s="40"/>
      <c r="P70" s="40"/>
      <c r="Q70" s="38"/>
      <c r="R70" s="38"/>
      <c r="S70" s="38"/>
    </row>
    <row r="71" spans="1:19" s="1101" customFormat="1" ht="15">
      <c r="A71" s="198">
        <f t="shared" si="0"/>
        <v>45</v>
      </c>
      <c r="B71" s="38"/>
      <c r="C71" s="40" t="str">
        <f>"   Net Revenue Requirement, with "&amp;F11&amp;" Basis Point ROE increase"</f>
        <v xml:space="preserve">   Net Revenue Requirement, with 0 Basis Point ROE increase</v>
      </c>
      <c r="D71" s="198"/>
      <c r="E71" s="38"/>
      <c r="F71" s="312">
        <f>+F53</f>
        <v>179086935.07937288</v>
      </c>
      <c r="G71" s="312"/>
      <c r="H71" s="38"/>
      <c r="J71" s="38"/>
      <c r="K71" s="38"/>
      <c r="L71" s="38"/>
      <c r="M71" s="38"/>
      <c r="N71" s="38"/>
      <c r="O71" s="40"/>
      <c r="P71" s="40"/>
      <c r="Q71" s="38"/>
      <c r="R71" s="38"/>
      <c r="S71" s="38"/>
    </row>
    <row r="72" spans="1:19" s="1101" customFormat="1">
      <c r="A72" s="198">
        <f t="shared" si="0"/>
        <v>46</v>
      </c>
      <c r="B72" s="38"/>
      <c r="C72" s="40" t="str">
        <f>"   FCR with "&amp;F11&amp;" Basis Point increase in ROE"</f>
        <v xml:space="preserve">   FCR with 0 Basis Point increase in ROE</v>
      </c>
      <c r="D72" s="198"/>
      <c r="E72" s="38"/>
      <c r="F72" s="265">
        <f>IF(F70=0,0,F71/F70)</f>
        <v>0.13547424705722469</v>
      </c>
      <c r="G72" s="265"/>
      <c r="H72" s="38"/>
      <c r="J72" s="38"/>
      <c r="K72" s="38"/>
      <c r="L72" s="38"/>
      <c r="M72" s="38"/>
      <c r="N72" s="38"/>
      <c r="O72" s="40"/>
      <c r="P72" s="40"/>
      <c r="Q72" s="38"/>
      <c r="R72" s="38"/>
      <c r="S72" s="38"/>
    </row>
    <row r="73" spans="1:19" s="1101" customFormat="1">
      <c r="A73" s="198"/>
      <c r="B73" s="38"/>
      <c r="C73" s="38"/>
      <c r="D73" s="198"/>
      <c r="E73" s="38"/>
      <c r="F73" s="38"/>
      <c r="G73" s="38"/>
      <c r="H73" s="265"/>
      <c r="J73" s="38"/>
      <c r="K73" s="38"/>
      <c r="L73" s="38"/>
      <c r="M73" s="38"/>
      <c r="N73" s="38"/>
      <c r="O73" s="40"/>
      <c r="P73" s="40"/>
      <c r="Q73" s="38"/>
      <c r="R73" s="38"/>
      <c r="S73" s="38"/>
    </row>
    <row r="74" spans="1:19" s="1101" customFormat="1">
      <c r="A74" s="198">
        <f>+A72+1</f>
        <v>47</v>
      </c>
      <c r="B74" s="38"/>
      <c r="C74" s="40" t="str">
        <f>"   Net Rev. Req, w / "&amp;F11&amp;" Basis Point ROE increase, less Dep."</f>
        <v xml:space="preserve">   Net Rev. Req, w / 0 Basis Point ROE increase, less Dep.</v>
      </c>
      <c r="D74" s="198"/>
      <c r="E74" s="38"/>
      <c r="F74" s="207">
        <f>+F55</f>
        <v>136023166.84590808</v>
      </c>
      <c r="G74" s="207"/>
      <c r="H74" s="38"/>
      <c r="J74" s="38"/>
      <c r="K74" s="38"/>
      <c r="L74" s="38"/>
      <c r="M74" s="38"/>
      <c r="N74" s="38"/>
      <c r="O74" s="40"/>
      <c r="P74" s="40"/>
      <c r="Q74" s="38"/>
      <c r="R74" s="38"/>
      <c r="S74" s="38"/>
    </row>
    <row r="75" spans="1:19" s="1101" customFormat="1">
      <c r="A75" s="198">
        <f t="shared" ref="A75:A87" si="1">+A74+1</f>
        <v>48</v>
      </c>
      <c r="B75" s="38"/>
      <c r="C75" s="40" t="str">
        <f>"   FCR with "&amp;F11&amp;" Basis Point ROE increase, less Depreciation"</f>
        <v xml:space="preserve">   FCR with 0 Basis Point ROE increase, less Depreciation</v>
      </c>
      <c r="D75" s="198"/>
      <c r="E75" s="38"/>
      <c r="F75" s="265">
        <f>IF(F70=0,0,F74/F70)</f>
        <v>0.10289771335145892</v>
      </c>
      <c r="G75" s="265"/>
      <c r="H75" s="207"/>
      <c r="J75" s="38"/>
      <c r="K75" s="38"/>
      <c r="L75" s="38"/>
      <c r="M75" s="38"/>
      <c r="N75" s="38"/>
      <c r="O75" s="40"/>
      <c r="P75" s="40"/>
      <c r="Q75" s="38"/>
      <c r="R75" s="38"/>
      <c r="S75" s="38"/>
    </row>
    <row r="76" spans="1:19">
      <c r="A76" s="198">
        <f t="shared" si="1"/>
        <v>49</v>
      </c>
      <c r="C76" s="149" t="str">
        <f>"   FCR less Depreciation  (TCOS, ln "&amp;'SWEPCO TCOS'!B29&amp;")"</f>
        <v xml:space="preserve">   FCR less Depreciation  (TCOS, ln 10)</v>
      </c>
      <c r="F76" s="266">
        <f>+'SWEPCO TCOS'!L29</f>
        <v>0.10289771335145892</v>
      </c>
      <c r="G76" s="266"/>
      <c r="H76" s="1155"/>
    </row>
    <row r="77" spans="1:19">
      <c r="A77" s="198">
        <f t="shared" si="1"/>
        <v>50</v>
      </c>
      <c r="C77" s="40" t="str">
        <f>"   Incremental FCR with "&amp;F11&amp;" Basis Point ROE increase, less Depreciation"</f>
        <v xml:space="preserve">   Incremental FCR with 0 Basis Point ROE increase, less Depreciation</v>
      </c>
      <c r="F77" s="265">
        <f>F75-F76</f>
        <v>0</v>
      </c>
      <c r="G77" s="265"/>
    </row>
    <row r="78" spans="1:19">
      <c r="A78" s="198"/>
      <c r="C78" s="40"/>
      <c r="F78" s="265"/>
      <c r="G78" s="265"/>
    </row>
    <row r="79" spans="1:19" ht="18.75">
      <c r="A79" s="198"/>
      <c r="B79" s="136" t="s">
        <v>349</v>
      </c>
      <c r="C79" s="137" t="s">
        <v>429</v>
      </c>
      <c r="F79" s="265"/>
      <c r="G79" s="265"/>
    </row>
    <row r="80" spans="1:19" ht="12.75" customHeight="1">
      <c r="A80" s="198">
        <f>+A77+1</f>
        <v>51</v>
      </c>
      <c r="B80" s="136"/>
      <c r="C80" s="40" t="str">
        <f>"Transmission Plant @ Beginning of Period (Worksheet A ln "&amp;'SWEPCO WS A RB Support '!A25&amp;" col. ("&amp;'SWEPCO WS A RB Support '!F6&amp;")"</f>
        <v>Transmission Plant @ Beginning of Period (Worksheet A ln 9 col. ((D))</v>
      </c>
      <c r="F80" s="1101">
        <f>+'SWEPCO WS A RB Support '!F25</f>
        <v>1845274304.95191</v>
      </c>
    </row>
    <row r="81" spans="1:16" ht="12.75" customHeight="1">
      <c r="A81" s="198">
        <f t="shared" si="1"/>
        <v>52</v>
      </c>
      <c r="B81" s="136"/>
      <c r="C81" s="40" t="str">
        <f>"Transmission Plant @ End of Period (Worksheet A ln "&amp;'SWEPCO WS A RB Support '!A25&amp;" col. ("&amp;'SWEPCO WS A RB Support '!E6&amp;")"</f>
        <v>Transmission Plant @ End of Period (Worksheet A ln 9 col. ((C))</v>
      </c>
      <c r="F81" s="1387">
        <f>+'SWEPCO WS A RB Support '!E25</f>
        <v>2008632153.7638299</v>
      </c>
    </row>
    <row r="82" spans="1:16" ht="12.75" customHeight="1">
      <c r="A82" s="198"/>
      <c r="B82" s="136"/>
      <c r="C82" s="40"/>
      <c r="F82" s="1101">
        <f>+F81+F80</f>
        <v>3853906458.7157402</v>
      </c>
      <c r="G82" s="1101"/>
    </row>
    <row r="83" spans="1:16">
      <c r="A83" s="198">
        <f>+A81+1</f>
        <v>53</v>
      </c>
      <c r="C83" s="40" t="str">
        <f>"Transmission Plant Average Balance for "&amp;'SWEPCO TCOS'!$N$1&amp;" "</f>
        <v xml:space="preserve">Transmission Plant Average Balance for 2019 </v>
      </c>
      <c r="F83" s="1126">
        <f>+F82/2</f>
        <v>1926953229.3578701</v>
      </c>
      <c r="G83" s="1126"/>
    </row>
    <row r="84" spans="1:16">
      <c r="A84" s="198">
        <f t="shared" si="1"/>
        <v>54</v>
      </c>
      <c r="C84" s="970" t="str">
        <f>"Annual Depreciation Expense  (TCOS, ln "&amp;'SWEPCO TCOS'!B149&amp;")"</f>
        <v>Annual Depreciation Expense  (TCOS, ln 84)</v>
      </c>
      <c r="F84" s="1126">
        <f>+'SWEPCO TCOS'!G149</f>
        <v>45165575.882299401</v>
      </c>
      <c r="G84" s="1126"/>
    </row>
    <row r="85" spans="1:16">
      <c r="A85" s="198">
        <f t="shared" si="1"/>
        <v>55</v>
      </c>
      <c r="C85" s="40" t="s">
        <v>430</v>
      </c>
      <c r="F85" s="265">
        <f>IF(F83=0,0,F84/F83)</f>
        <v>2.3438854246270516E-2</v>
      </c>
      <c r="G85" s="265"/>
      <c r="I85" s="1124"/>
    </row>
    <row r="86" spans="1:16">
      <c r="A86" s="198">
        <f t="shared" si="1"/>
        <v>56</v>
      </c>
      <c r="C86" s="40" t="s">
        <v>431</v>
      </c>
      <c r="F86" s="1156">
        <f>IF(F85=0,0,1/F85)</f>
        <v>42.664201479008533</v>
      </c>
      <c r="G86" s="1156"/>
    </row>
    <row r="87" spans="1:16">
      <c r="A87" s="198">
        <f t="shared" si="1"/>
        <v>57</v>
      </c>
      <c r="C87" s="40" t="s">
        <v>432</v>
      </c>
      <c r="F87" s="268">
        <f>ROUND(F86,0)</f>
        <v>43</v>
      </c>
      <c r="G87" s="268"/>
    </row>
    <row r="88" spans="1:16">
      <c r="C88" s="40"/>
      <c r="F88" s="268"/>
      <c r="G88" s="268"/>
    </row>
    <row r="89" spans="1:16">
      <c r="C89" s="40"/>
      <c r="F89" s="268"/>
      <c r="G89" s="268"/>
    </row>
    <row r="90" spans="1:16" ht="20.25">
      <c r="A90" s="971" t="str">
        <f>"'Worksheet F --  "&amp;'SWEPCO TCOS'!F7&amp;" --  Calculation of Projected ARR for SPP Base Plan Upgrade Projects"</f>
        <v>'Worksheet F --  SOUTHWESTERN ELECTRIC POWER COMPANY --  Calculation of Projected ARR for SPP Base Plan Upgrade Projects</v>
      </c>
      <c r="B90" s="520"/>
      <c r="C90" s="40"/>
      <c r="D90" s="521"/>
      <c r="E90" s="520"/>
      <c r="F90" s="522"/>
      <c r="G90" s="520"/>
      <c r="H90" s="589"/>
      <c r="I90" s="520"/>
      <c r="J90" s="524"/>
      <c r="K90" s="523"/>
      <c r="L90" s="523"/>
      <c r="M90" s="523"/>
      <c r="N90" s="416"/>
      <c r="O90" s="520"/>
    </row>
    <row r="91" spans="1:16" ht="18">
      <c r="A91" s="520"/>
      <c r="B91" s="520"/>
      <c r="C91" s="520"/>
      <c r="D91" s="521"/>
      <c r="E91" s="520"/>
      <c r="F91" s="520"/>
      <c r="G91" s="520"/>
      <c r="H91" s="589"/>
      <c r="I91" s="520"/>
      <c r="J91" s="524"/>
      <c r="K91" s="520"/>
      <c r="L91" s="520"/>
      <c r="M91" s="520"/>
      <c r="N91" s="525"/>
      <c r="O91" s="520"/>
    </row>
    <row r="92" spans="1:16" ht="18.75">
      <c r="A92" s="520"/>
      <c r="B92" s="136" t="s">
        <v>350</v>
      </c>
      <c r="C92" s="137" t="s">
        <v>498</v>
      </c>
      <c r="D92" s="521"/>
      <c r="E92" s="520"/>
      <c r="F92" s="520"/>
      <c r="G92" s="520"/>
      <c r="H92" s="589"/>
      <c r="I92" s="589"/>
      <c r="J92" s="526"/>
      <c r="K92" s="589"/>
      <c r="L92" s="589"/>
      <c r="M92" s="589"/>
      <c r="N92" s="589"/>
      <c r="O92" s="520"/>
      <c r="P92" s="527"/>
    </row>
    <row r="93" spans="1:16" ht="15.75" thickBot="1">
      <c r="A93" s="520"/>
      <c r="B93" s="520"/>
      <c r="C93" s="16"/>
      <c r="D93" s="521"/>
      <c r="E93" s="520"/>
      <c r="F93" s="520"/>
      <c r="G93" s="520"/>
      <c r="H93" s="589"/>
      <c r="I93" s="589"/>
      <c r="J93" s="526"/>
      <c r="K93" s="589"/>
      <c r="L93" s="589"/>
      <c r="M93" s="589"/>
      <c r="N93" s="589"/>
      <c r="O93" s="520"/>
      <c r="P93" s="520"/>
    </row>
    <row r="94" spans="1:16" ht="15">
      <c r="A94" s="520"/>
      <c r="B94" s="520"/>
      <c r="C94" s="528" t="s">
        <v>499</v>
      </c>
      <c r="D94" s="521"/>
      <c r="E94" s="520"/>
      <c r="F94" s="520"/>
      <c r="G94" s="972"/>
      <c r="H94" s="583"/>
      <c r="I94" s="520"/>
      <c r="J94" s="524"/>
      <c r="K94" s="973" t="s">
        <v>533</v>
      </c>
      <c r="L94" s="529"/>
      <c r="M94" s="530"/>
      <c r="N94" s="531"/>
      <c r="O94" s="520"/>
      <c r="P94" s="520"/>
    </row>
    <row r="95" spans="1:16" ht="15.75">
      <c r="A95" s="520"/>
      <c r="B95" s="520"/>
      <c r="C95" s="532"/>
      <c r="D95" s="521"/>
      <c r="E95" s="520"/>
      <c r="F95" s="520"/>
      <c r="G95" s="520"/>
      <c r="H95" s="533"/>
      <c r="I95" s="533"/>
      <c r="J95" s="534"/>
      <c r="K95" s="974" t="s">
        <v>534</v>
      </c>
      <c r="L95" s="535"/>
      <c r="M95" s="524"/>
      <c r="N95" s="536"/>
      <c r="O95" s="520"/>
      <c r="P95" s="520"/>
    </row>
    <row r="96" spans="1:16" ht="13.5" thickBot="1">
      <c r="A96" s="520"/>
      <c r="B96" s="520"/>
      <c r="C96" s="194" t="s">
        <v>500</v>
      </c>
      <c r="D96" s="975"/>
      <c r="E96" s="975"/>
      <c r="F96" s="975"/>
      <c r="G96" s="520"/>
      <c r="H96" s="589"/>
      <c r="I96" s="589"/>
      <c r="J96" s="526"/>
      <c r="K96" s="537" t="s">
        <v>501</v>
      </c>
      <c r="L96" s="538"/>
      <c r="M96" s="538"/>
      <c r="N96" s="539">
        <f>+N95-N94</f>
        <v>0</v>
      </c>
      <c r="O96" s="520"/>
      <c r="P96" s="520"/>
    </row>
    <row r="97" spans="1:16" ht="13.5" thickBot="1">
      <c r="A97" s="520"/>
      <c r="B97" s="520"/>
      <c r="C97" s="976"/>
      <c r="D97" s="163"/>
      <c r="E97" s="344"/>
      <c r="F97" s="344"/>
      <c r="G97" s="344"/>
      <c r="H97" s="344"/>
      <c r="I97" s="344"/>
      <c r="J97" s="508"/>
      <c r="K97" s="344"/>
      <c r="L97" s="344"/>
      <c r="M97" s="344"/>
      <c r="N97" s="344"/>
      <c r="O97" s="508"/>
    </row>
    <row r="98" spans="1:16" ht="13.5" thickBot="1">
      <c r="A98" s="520"/>
      <c r="B98" s="520"/>
      <c r="C98" s="540" t="s">
        <v>502</v>
      </c>
      <c r="D98" s="977"/>
      <c r="E98" s="1010" t="s">
        <v>1145</v>
      </c>
      <c r="F98" s="541"/>
      <c r="G98" s="541"/>
      <c r="H98" s="541"/>
      <c r="I98" s="542"/>
      <c r="J98" s="39"/>
      <c r="K98" s="520"/>
      <c r="L98" s="520"/>
      <c r="M98" s="520"/>
      <c r="N98" s="520"/>
      <c r="O98" s="978"/>
      <c r="P98" s="524"/>
    </row>
    <row r="99" spans="1:16">
      <c r="A99" s="520"/>
      <c r="B99" s="520"/>
      <c r="C99" s="587" t="s">
        <v>503</v>
      </c>
      <c r="D99" s="979"/>
      <c r="E99" s="147" t="s">
        <v>65</v>
      </c>
      <c r="F99" s="978"/>
      <c r="G99" s="543"/>
      <c r="H99" s="543"/>
      <c r="I99" s="544">
        <f>+K18</f>
        <v>2019</v>
      </c>
      <c r="J99" s="39"/>
      <c r="K99" s="526" t="s">
        <v>504</v>
      </c>
      <c r="L99" s="520"/>
      <c r="M99" s="520"/>
      <c r="N99" s="520"/>
      <c r="O99" s="524"/>
      <c r="P99" s="524"/>
    </row>
    <row r="100" spans="1:16">
      <c r="A100" s="520"/>
      <c r="B100" s="520"/>
      <c r="C100" s="438" t="s">
        <v>505</v>
      </c>
      <c r="D100" s="980"/>
      <c r="E100" s="438" t="s">
        <v>506</v>
      </c>
      <c r="F100" s="543"/>
      <c r="G100" s="524"/>
      <c r="H100" s="524"/>
      <c r="I100" s="545">
        <f>+F11</f>
        <v>0</v>
      </c>
      <c r="J100" s="546"/>
      <c r="K100" s="520" t="str">
        <f>"          INPUT PROJECTED ARR (WITH &amp; WITHOUT INCENTIVES) FROM EACH PRIOR YEAR"</f>
        <v xml:space="preserve">          INPUT PROJECTED ARR (WITH &amp; WITHOUT INCENTIVES) FROM EACH PRIOR YEAR</v>
      </c>
      <c r="L100" s="520"/>
      <c r="M100" s="520"/>
      <c r="N100" s="520"/>
      <c r="O100" s="524"/>
      <c r="P100" s="524"/>
    </row>
    <row r="101" spans="1:16">
      <c r="A101" s="520"/>
      <c r="B101" s="520"/>
      <c r="C101" s="438" t="s">
        <v>507</v>
      </c>
      <c r="D101" s="979">
        <v>0</v>
      </c>
      <c r="E101" s="438" t="s">
        <v>508</v>
      </c>
      <c r="F101" s="543"/>
      <c r="G101" s="524"/>
      <c r="H101" s="524"/>
      <c r="I101" s="547">
        <f>+F76</f>
        <v>0.10289771335145892</v>
      </c>
      <c r="J101" s="164"/>
      <c r="K101" s="520" t="s">
        <v>509</v>
      </c>
      <c r="L101" s="520"/>
      <c r="M101" s="520"/>
      <c r="N101" s="520"/>
      <c r="O101" s="524"/>
      <c r="P101" s="524"/>
    </row>
    <row r="102" spans="1:16">
      <c r="A102" s="520"/>
      <c r="B102" s="520"/>
      <c r="C102" s="438" t="s">
        <v>510</v>
      </c>
      <c r="D102" s="979">
        <v>0</v>
      </c>
      <c r="E102" s="438" t="s">
        <v>511</v>
      </c>
      <c r="F102" s="543"/>
      <c r="G102" s="524"/>
      <c r="H102" s="524"/>
      <c r="I102" s="547">
        <f>IF(G94="",I101,F75)</f>
        <v>0.10289771335145892</v>
      </c>
      <c r="J102" s="164"/>
      <c r="K102" s="526" t="s">
        <v>512</v>
      </c>
      <c r="L102" s="548"/>
      <c r="M102" s="548"/>
      <c r="N102" s="548"/>
      <c r="O102" s="524"/>
      <c r="P102" s="524"/>
    </row>
    <row r="103" spans="1:16" ht="13.5" thickBot="1">
      <c r="A103" s="520"/>
      <c r="B103" s="520"/>
      <c r="C103" s="438" t="s">
        <v>513</v>
      </c>
      <c r="D103" s="980"/>
      <c r="E103" s="524" t="s">
        <v>514</v>
      </c>
      <c r="F103" s="543"/>
      <c r="G103" s="524"/>
      <c r="H103" s="524"/>
      <c r="I103" s="549">
        <f>IF(D99=0,0,D99/D102)</f>
        <v>0</v>
      </c>
      <c r="J103" s="526"/>
      <c r="K103" s="526"/>
      <c r="L103" s="526"/>
      <c r="M103" s="526"/>
      <c r="N103" s="526"/>
      <c r="O103" s="524"/>
      <c r="P103" s="524"/>
    </row>
    <row r="104" spans="1:16" ht="66" customHeight="1">
      <c r="A104" s="520"/>
      <c r="B104" s="520"/>
      <c r="C104" s="550" t="s">
        <v>433</v>
      </c>
      <c r="D104" s="551" t="s">
        <v>515</v>
      </c>
      <c r="E104" s="551" t="s">
        <v>516</v>
      </c>
      <c r="F104" s="551" t="s">
        <v>517</v>
      </c>
      <c r="G104" s="585" t="s">
        <v>518</v>
      </c>
      <c r="H104" s="552" t="s">
        <v>519</v>
      </c>
      <c r="I104" s="550" t="s">
        <v>520</v>
      </c>
      <c r="J104" s="553"/>
      <c r="K104" s="554" t="s">
        <v>521</v>
      </c>
      <c r="L104" s="555" t="s">
        <v>522</v>
      </c>
      <c r="M104" s="554" t="s">
        <v>521</v>
      </c>
      <c r="N104" s="555" t="s">
        <v>522</v>
      </c>
      <c r="O104" s="556" t="s">
        <v>523</v>
      </c>
      <c r="P104" s="524"/>
    </row>
    <row r="105" spans="1:16" ht="15" customHeight="1" thickBot="1">
      <c r="A105" s="520"/>
      <c r="B105" s="520"/>
      <c r="C105" s="584" t="s">
        <v>524</v>
      </c>
      <c r="D105" s="557" t="s">
        <v>353</v>
      </c>
      <c r="E105" s="557" t="s">
        <v>252</v>
      </c>
      <c r="F105" s="557" t="s">
        <v>353</v>
      </c>
      <c r="G105" s="586" t="s">
        <v>525</v>
      </c>
      <c r="H105" s="558" t="s">
        <v>526</v>
      </c>
      <c r="I105" s="559" t="s">
        <v>1138</v>
      </c>
      <c r="J105" s="560" t="s">
        <v>527</v>
      </c>
      <c r="K105" s="561" t="s">
        <v>528</v>
      </c>
      <c r="L105" s="562" t="s">
        <v>528</v>
      </c>
      <c r="M105" s="561" t="s">
        <v>1139</v>
      </c>
      <c r="N105" s="563" t="s">
        <v>1139</v>
      </c>
      <c r="O105" s="561" t="s">
        <v>1139</v>
      </c>
      <c r="P105" s="524"/>
    </row>
    <row r="106" spans="1:16">
      <c r="A106" s="520"/>
      <c r="B106" s="521"/>
      <c r="C106" s="564" t="str">
        <f>IF(D100= "","-",D100)</f>
        <v>-</v>
      </c>
      <c r="D106" s="1459">
        <v>0</v>
      </c>
      <c r="E106" s="566">
        <f>IF(D99&gt;=100000,I$14/12*(12-D101),0)</f>
        <v>0</v>
      </c>
      <c r="F106" s="565">
        <f t="shared" ref="F106:F161" si="2">+D106-E106</f>
        <v>0</v>
      </c>
      <c r="G106" s="1461">
        <f>+I$12*((D106+F106)/2)+E106</f>
        <v>0</v>
      </c>
      <c r="H106" s="1460">
        <f>+I$13*((D106+F106)/2)+E106</f>
        <v>0</v>
      </c>
      <c r="I106" s="567">
        <f t="shared" ref="I106:I161" si="3">H106-G106</f>
        <v>0</v>
      </c>
      <c r="J106" s="567"/>
      <c r="K106" s="981"/>
      <c r="L106" s="568">
        <f t="shared" ref="L106:L161" si="4">IF(K106&lt;&gt;0,+G106-K106,0)</f>
        <v>0</v>
      </c>
      <c r="M106" s="981"/>
      <c r="N106" s="568">
        <f t="shared" ref="N106:N161" si="5">IF(M106&lt;&gt;0,+H106-M106,0)</f>
        <v>0</v>
      </c>
      <c r="O106" s="569">
        <f t="shared" ref="O106:O161" si="6">+N106-L106</f>
        <v>0</v>
      </c>
      <c r="P106" s="524"/>
    </row>
    <row r="107" spans="1:16">
      <c r="A107" s="520"/>
      <c r="B107" s="521" t="str">
        <f>IF(D107=F106,"","IU")</f>
        <v/>
      </c>
      <c r="C107" s="564" t="str">
        <f>IF(D100="","-",+C106+1)</f>
        <v>-</v>
      </c>
      <c r="D107" s="570">
        <f t="shared" ref="D107:D161" si="7">F106</f>
        <v>0</v>
      </c>
      <c r="E107" s="1465">
        <f>IF(+I103&lt;F106,I103,D107)</f>
        <v>0</v>
      </c>
      <c r="F107" s="570">
        <f t="shared" si="2"/>
        <v>0</v>
      </c>
      <c r="G107" s="571">
        <f>+I$10*F107+E107</f>
        <v>0</v>
      </c>
      <c r="H107" s="549">
        <f>+I$11*F107+E107</f>
        <v>0</v>
      </c>
      <c r="I107" s="567">
        <f t="shared" si="3"/>
        <v>0</v>
      </c>
      <c r="J107" s="567"/>
      <c r="K107" s="982"/>
      <c r="L107" s="569">
        <f t="shared" si="4"/>
        <v>0</v>
      </c>
      <c r="M107" s="982"/>
      <c r="N107" s="569">
        <f t="shared" si="5"/>
        <v>0</v>
      </c>
      <c r="O107" s="569">
        <f t="shared" si="6"/>
        <v>0</v>
      </c>
      <c r="P107" s="524"/>
    </row>
    <row r="108" spans="1:16">
      <c r="A108" s="520"/>
      <c r="B108" s="521" t="str">
        <f>IF(D108=F107,"","IU")</f>
        <v/>
      </c>
      <c r="C108" s="564" t="str">
        <f>IF(D100="","-",+C107+1)</f>
        <v>-</v>
      </c>
      <c r="D108" s="570">
        <f t="shared" si="7"/>
        <v>0</v>
      </c>
      <c r="E108" s="571">
        <f>IF(+I103&lt;F107,I103,D108)</f>
        <v>0</v>
      </c>
      <c r="F108" s="570">
        <f t="shared" si="2"/>
        <v>0</v>
      </c>
      <c r="G108" s="571">
        <f t="shared" ref="G108:G161" si="8">+I$10*F108+E108</f>
        <v>0</v>
      </c>
      <c r="H108" s="549">
        <f t="shared" ref="H108:H161" si="9">+I$11*F108+E108</f>
        <v>0</v>
      </c>
      <c r="I108" s="567">
        <f t="shared" si="3"/>
        <v>0</v>
      </c>
      <c r="J108" s="567"/>
      <c r="K108" s="982"/>
      <c r="L108" s="569">
        <f t="shared" si="4"/>
        <v>0</v>
      </c>
      <c r="M108" s="982"/>
      <c r="N108" s="569">
        <f t="shared" si="5"/>
        <v>0</v>
      </c>
      <c r="O108" s="569">
        <f t="shared" si="6"/>
        <v>0</v>
      </c>
      <c r="P108" s="524"/>
    </row>
    <row r="109" spans="1:16">
      <c r="A109" s="520"/>
      <c r="B109" s="521" t="str">
        <f t="shared" ref="B109:B161" si="10">IF(D109=F108,"","IU")</f>
        <v/>
      </c>
      <c r="C109" s="564" t="str">
        <f>IF(D100="","-",+C108+1)</f>
        <v>-</v>
      </c>
      <c r="D109" s="570">
        <f t="shared" si="7"/>
        <v>0</v>
      </c>
      <c r="E109" s="571">
        <f>IF(+I103&lt;F108,I103,D109)</f>
        <v>0</v>
      </c>
      <c r="F109" s="570">
        <f t="shared" si="2"/>
        <v>0</v>
      </c>
      <c r="G109" s="571">
        <f t="shared" si="8"/>
        <v>0</v>
      </c>
      <c r="H109" s="549">
        <f t="shared" si="9"/>
        <v>0</v>
      </c>
      <c r="I109" s="567">
        <f t="shared" si="3"/>
        <v>0</v>
      </c>
      <c r="J109" s="567"/>
      <c r="K109" s="982"/>
      <c r="L109" s="569">
        <f t="shared" si="4"/>
        <v>0</v>
      </c>
      <c r="M109" s="982"/>
      <c r="N109" s="569">
        <f t="shared" si="5"/>
        <v>0</v>
      </c>
      <c r="O109" s="569">
        <f t="shared" si="6"/>
        <v>0</v>
      </c>
      <c r="P109" s="524"/>
    </row>
    <row r="110" spans="1:16">
      <c r="A110" s="520"/>
      <c r="B110" s="521" t="str">
        <f t="shared" si="10"/>
        <v/>
      </c>
      <c r="C110" s="564" t="str">
        <f>IF(D100="","-",+C109+1)</f>
        <v>-</v>
      </c>
      <c r="D110" s="570">
        <f t="shared" si="7"/>
        <v>0</v>
      </c>
      <c r="E110" s="571">
        <f>IF(+I103&lt;F109,I103,D110)</f>
        <v>0</v>
      </c>
      <c r="F110" s="570">
        <f t="shared" si="2"/>
        <v>0</v>
      </c>
      <c r="G110" s="571">
        <f t="shared" si="8"/>
        <v>0</v>
      </c>
      <c r="H110" s="549">
        <f t="shared" si="9"/>
        <v>0</v>
      </c>
      <c r="I110" s="567">
        <f t="shared" si="3"/>
        <v>0</v>
      </c>
      <c r="J110" s="567"/>
      <c r="K110" s="982"/>
      <c r="L110" s="569">
        <f t="shared" si="4"/>
        <v>0</v>
      </c>
      <c r="M110" s="982"/>
      <c r="N110" s="569">
        <f t="shared" si="5"/>
        <v>0</v>
      </c>
      <c r="O110" s="569">
        <f t="shared" si="6"/>
        <v>0</v>
      </c>
      <c r="P110" s="524"/>
    </row>
    <row r="111" spans="1:16">
      <c r="A111" s="520"/>
      <c r="B111" s="521" t="str">
        <f t="shared" si="10"/>
        <v/>
      </c>
      <c r="C111" s="564" t="str">
        <f>IF(D100="","-",+C110+1)</f>
        <v>-</v>
      </c>
      <c r="D111" s="570">
        <f t="shared" si="7"/>
        <v>0</v>
      </c>
      <c r="E111" s="571">
        <f>IF(+I103&lt;F110,I103,D111)</f>
        <v>0</v>
      </c>
      <c r="F111" s="570">
        <f t="shared" si="2"/>
        <v>0</v>
      </c>
      <c r="G111" s="571">
        <f t="shared" si="8"/>
        <v>0</v>
      </c>
      <c r="H111" s="549">
        <f t="shared" si="9"/>
        <v>0</v>
      </c>
      <c r="I111" s="567">
        <f t="shared" si="3"/>
        <v>0</v>
      </c>
      <c r="J111" s="567"/>
      <c r="K111" s="982"/>
      <c r="L111" s="569">
        <f t="shared" si="4"/>
        <v>0</v>
      </c>
      <c r="M111" s="982"/>
      <c r="N111" s="569">
        <f t="shared" si="5"/>
        <v>0</v>
      </c>
      <c r="O111" s="569">
        <f t="shared" si="6"/>
        <v>0</v>
      </c>
      <c r="P111" s="524"/>
    </row>
    <row r="112" spans="1:16">
      <c r="A112" s="520"/>
      <c r="B112" s="521" t="str">
        <f t="shared" si="10"/>
        <v/>
      </c>
      <c r="C112" s="564" t="str">
        <f>IF(D100="","-",+C111+1)</f>
        <v>-</v>
      </c>
      <c r="D112" s="570">
        <f t="shared" si="7"/>
        <v>0</v>
      </c>
      <c r="E112" s="571">
        <f>IF(+I103&lt;F111,I103,D112)</f>
        <v>0</v>
      </c>
      <c r="F112" s="570">
        <f t="shared" si="2"/>
        <v>0</v>
      </c>
      <c r="G112" s="571">
        <f t="shared" si="8"/>
        <v>0</v>
      </c>
      <c r="H112" s="549">
        <f t="shared" si="9"/>
        <v>0</v>
      </c>
      <c r="I112" s="567">
        <f t="shared" si="3"/>
        <v>0</v>
      </c>
      <c r="J112" s="567"/>
      <c r="K112" s="982"/>
      <c r="L112" s="569">
        <f t="shared" si="4"/>
        <v>0</v>
      </c>
      <c r="M112" s="982"/>
      <c r="N112" s="569">
        <f t="shared" si="5"/>
        <v>0</v>
      </c>
      <c r="O112" s="569">
        <f t="shared" si="6"/>
        <v>0</v>
      </c>
      <c r="P112" s="524"/>
    </row>
    <row r="113" spans="1:16">
      <c r="A113" s="520"/>
      <c r="B113" s="521" t="str">
        <f t="shared" si="10"/>
        <v/>
      </c>
      <c r="C113" s="564" t="str">
        <f>IF(D100="","-",+C112+1)</f>
        <v>-</v>
      </c>
      <c r="D113" s="570">
        <f t="shared" si="7"/>
        <v>0</v>
      </c>
      <c r="E113" s="571">
        <f>IF(+I103&lt;F112,I103,D113)</f>
        <v>0</v>
      </c>
      <c r="F113" s="570">
        <f t="shared" si="2"/>
        <v>0</v>
      </c>
      <c r="G113" s="571">
        <f t="shared" si="8"/>
        <v>0</v>
      </c>
      <c r="H113" s="549">
        <f t="shared" si="9"/>
        <v>0</v>
      </c>
      <c r="I113" s="567">
        <f t="shared" si="3"/>
        <v>0</v>
      </c>
      <c r="J113" s="567"/>
      <c r="K113" s="982"/>
      <c r="L113" s="569">
        <f t="shared" si="4"/>
        <v>0</v>
      </c>
      <c r="M113" s="982"/>
      <c r="N113" s="569">
        <f t="shared" si="5"/>
        <v>0</v>
      </c>
      <c r="O113" s="569">
        <f t="shared" si="6"/>
        <v>0</v>
      </c>
      <c r="P113" s="524"/>
    </row>
    <row r="114" spans="1:16">
      <c r="A114" s="520"/>
      <c r="B114" s="521" t="str">
        <f t="shared" si="10"/>
        <v/>
      </c>
      <c r="C114" s="564" t="str">
        <f>IF(D100="","-",+C113+1)</f>
        <v>-</v>
      </c>
      <c r="D114" s="570">
        <f t="shared" si="7"/>
        <v>0</v>
      </c>
      <c r="E114" s="571">
        <f>IF(+I103&lt;F113,I103,D114)</f>
        <v>0</v>
      </c>
      <c r="F114" s="570">
        <f t="shared" si="2"/>
        <v>0</v>
      </c>
      <c r="G114" s="571">
        <f t="shared" si="8"/>
        <v>0</v>
      </c>
      <c r="H114" s="549">
        <f t="shared" si="9"/>
        <v>0</v>
      </c>
      <c r="I114" s="567">
        <f t="shared" si="3"/>
        <v>0</v>
      </c>
      <c r="J114" s="567"/>
      <c r="K114" s="982"/>
      <c r="L114" s="569">
        <f t="shared" si="4"/>
        <v>0</v>
      </c>
      <c r="M114" s="982"/>
      <c r="N114" s="569">
        <f t="shared" si="5"/>
        <v>0</v>
      </c>
      <c r="O114" s="569">
        <f t="shared" si="6"/>
        <v>0</v>
      </c>
      <c r="P114" s="524"/>
    </row>
    <row r="115" spans="1:16">
      <c r="A115" s="520"/>
      <c r="B115" s="521" t="str">
        <f t="shared" si="10"/>
        <v/>
      </c>
      <c r="C115" s="564" t="str">
        <f>IF(D100="","-",+C114+1)</f>
        <v>-</v>
      </c>
      <c r="D115" s="570">
        <f t="shared" si="7"/>
        <v>0</v>
      </c>
      <c r="E115" s="571">
        <f>IF(+I103&lt;F114,I103,D115)</f>
        <v>0</v>
      </c>
      <c r="F115" s="570">
        <f t="shared" si="2"/>
        <v>0</v>
      </c>
      <c r="G115" s="571">
        <f t="shared" si="8"/>
        <v>0</v>
      </c>
      <c r="H115" s="549">
        <f t="shared" si="9"/>
        <v>0</v>
      </c>
      <c r="I115" s="567">
        <f t="shared" si="3"/>
        <v>0</v>
      </c>
      <c r="J115" s="567"/>
      <c r="K115" s="982"/>
      <c r="L115" s="569">
        <f t="shared" si="4"/>
        <v>0</v>
      </c>
      <c r="M115" s="982"/>
      <c r="N115" s="569">
        <f t="shared" si="5"/>
        <v>0</v>
      </c>
      <c r="O115" s="569">
        <f t="shared" si="6"/>
        <v>0</v>
      </c>
      <c r="P115" s="524"/>
    </row>
    <row r="116" spans="1:16">
      <c r="A116" s="520"/>
      <c r="B116" s="521" t="str">
        <f t="shared" si="10"/>
        <v/>
      </c>
      <c r="C116" s="564" t="str">
        <f>IF(D100="","-",+C115+1)</f>
        <v>-</v>
      </c>
      <c r="D116" s="453">
        <f t="shared" si="7"/>
        <v>0</v>
      </c>
      <c r="E116" s="571">
        <f>IF(+I103&lt;F115,I103,D116)</f>
        <v>0</v>
      </c>
      <c r="F116" s="570">
        <f t="shared" si="2"/>
        <v>0</v>
      </c>
      <c r="G116" s="571">
        <f t="shared" si="8"/>
        <v>0</v>
      </c>
      <c r="H116" s="549">
        <f t="shared" si="9"/>
        <v>0</v>
      </c>
      <c r="I116" s="567">
        <f t="shared" si="3"/>
        <v>0</v>
      </c>
      <c r="J116" s="567"/>
      <c r="K116" s="982"/>
      <c r="L116" s="569">
        <f t="shared" si="4"/>
        <v>0</v>
      </c>
      <c r="M116" s="982"/>
      <c r="N116" s="569">
        <f t="shared" si="5"/>
        <v>0</v>
      </c>
      <c r="O116" s="569">
        <f t="shared" si="6"/>
        <v>0</v>
      </c>
      <c r="P116" s="524"/>
    </row>
    <row r="117" spans="1:16">
      <c r="A117" s="520"/>
      <c r="B117" s="521" t="str">
        <f t="shared" si="10"/>
        <v/>
      </c>
      <c r="C117" s="564" t="str">
        <f>IF(D100="","-",+C116+1)</f>
        <v>-</v>
      </c>
      <c r="D117" s="570">
        <f t="shared" si="7"/>
        <v>0</v>
      </c>
      <c r="E117" s="571">
        <f>IF(+I103&lt;F116,I103,D117)</f>
        <v>0</v>
      </c>
      <c r="F117" s="570">
        <f t="shared" si="2"/>
        <v>0</v>
      </c>
      <c r="G117" s="571">
        <f t="shared" si="8"/>
        <v>0</v>
      </c>
      <c r="H117" s="549">
        <f t="shared" si="9"/>
        <v>0</v>
      </c>
      <c r="I117" s="567">
        <f t="shared" si="3"/>
        <v>0</v>
      </c>
      <c r="J117" s="567"/>
      <c r="K117" s="982"/>
      <c r="L117" s="569">
        <f t="shared" si="4"/>
        <v>0</v>
      </c>
      <c r="M117" s="982"/>
      <c r="N117" s="569">
        <f t="shared" si="5"/>
        <v>0</v>
      </c>
      <c r="O117" s="569">
        <f t="shared" si="6"/>
        <v>0</v>
      </c>
      <c r="P117" s="524"/>
    </row>
    <row r="118" spans="1:16">
      <c r="A118" s="520"/>
      <c r="B118" s="521" t="str">
        <f t="shared" si="10"/>
        <v/>
      </c>
      <c r="C118" s="564" t="str">
        <f>IF(D100="","-",+C117+1)</f>
        <v>-</v>
      </c>
      <c r="D118" s="570">
        <f t="shared" si="7"/>
        <v>0</v>
      </c>
      <c r="E118" s="571">
        <f>IF(+I103&lt;F117,I103,D118)</f>
        <v>0</v>
      </c>
      <c r="F118" s="570">
        <f t="shared" si="2"/>
        <v>0</v>
      </c>
      <c r="G118" s="571">
        <f t="shared" si="8"/>
        <v>0</v>
      </c>
      <c r="H118" s="549">
        <f t="shared" si="9"/>
        <v>0</v>
      </c>
      <c r="I118" s="567">
        <f t="shared" si="3"/>
        <v>0</v>
      </c>
      <c r="J118" s="567"/>
      <c r="K118" s="982"/>
      <c r="L118" s="569">
        <f t="shared" si="4"/>
        <v>0</v>
      </c>
      <c r="M118" s="982"/>
      <c r="N118" s="569">
        <f t="shared" si="5"/>
        <v>0</v>
      </c>
      <c r="O118" s="569">
        <f t="shared" si="6"/>
        <v>0</v>
      </c>
      <c r="P118" s="524"/>
    </row>
    <row r="119" spans="1:16">
      <c r="A119" s="520"/>
      <c r="B119" s="521" t="str">
        <f t="shared" si="10"/>
        <v/>
      </c>
      <c r="C119" s="564" t="str">
        <f>IF(D100="","-",+C118+1)</f>
        <v>-</v>
      </c>
      <c r="D119" s="570">
        <f t="shared" si="7"/>
        <v>0</v>
      </c>
      <c r="E119" s="571">
        <f>IF(+I103&lt;F118,I103,D119)</f>
        <v>0</v>
      </c>
      <c r="F119" s="570">
        <f t="shared" si="2"/>
        <v>0</v>
      </c>
      <c r="G119" s="571">
        <f t="shared" si="8"/>
        <v>0</v>
      </c>
      <c r="H119" s="549">
        <f t="shared" si="9"/>
        <v>0</v>
      </c>
      <c r="I119" s="567">
        <f t="shared" si="3"/>
        <v>0</v>
      </c>
      <c r="J119" s="567"/>
      <c r="K119" s="982"/>
      <c r="L119" s="569">
        <f t="shared" si="4"/>
        <v>0</v>
      </c>
      <c r="M119" s="982"/>
      <c r="N119" s="569">
        <f t="shared" si="5"/>
        <v>0</v>
      </c>
      <c r="O119" s="569">
        <f t="shared" si="6"/>
        <v>0</v>
      </c>
      <c r="P119" s="524"/>
    </row>
    <row r="120" spans="1:16">
      <c r="A120" s="520"/>
      <c r="B120" s="521" t="str">
        <f t="shared" si="10"/>
        <v/>
      </c>
      <c r="C120" s="564" t="str">
        <f>IF(D100="","-",+C119+1)</f>
        <v>-</v>
      </c>
      <c r="D120" s="570">
        <f t="shared" si="7"/>
        <v>0</v>
      </c>
      <c r="E120" s="571">
        <f>IF(+I103&lt;F119,I103,D120)</f>
        <v>0</v>
      </c>
      <c r="F120" s="570">
        <f t="shared" si="2"/>
        <v>0</v>
      </c>
      <c r="G120" s="571">
        <f t="shared" si="8"/>
        <v>0</v>
      </c>
      <c r="H120" s="549">
        <f t="shared" si="9"/>
        <v>0</v>
      </c>
      <c r="I120" s="567">
        <f t="shared" si="3"/>
        <v>0</v>
      </c>
      <c r="J120" s="567"/>
      <c r="K120" s="982"/>
      <c r="L120" s="569">
        <f t="shared" si="4"/>
        <v>0</v>
      </c>
      <c r="M120" s="982"/>
      <c r="N120" s="569">
        <f t="shared" si="5"/>
        <v>0</v>
      </c>
      <c r="O120" s="569">
        <f t="shared" si="6"/>
        <v>0</v>
      </c>
      <c r="P120" s="524"/>
    </row>
    <row r="121" spans="1:16">
      <c r="A121" s="520"/>
      <c r="B121" s="521" t="str">
        <f t="shared" si="10"/>
        <v/>
      </c>
      <c r="C121" s="564" t="str">
        <f>IF(D100="","-",+C120+1)</f>
        <v>-</v>
      </c>
      <c r="D121" s="570">
        <f t="shared" si="7"/>
        <v>0</v>
      </c>
      <c r="E121" s="571">
        <f>IF(+I103&lt;F120,I103,D121)</f>
        <v>0</v>
      </c>
      <c r="F121" s="570">
        <f t="shared" si="2"/>
        <v>0</v>
      </c>
      <c r="G121" s="571">
        <f t="shared" si="8"/>
        <v>0</v>
      </c>
      <c r="H121" s="549">
        <f t="shared" si="9"/>
        <v>0</v>
      </c>
      <c r="I121" s="567">
        <f t="shared" si="3"/>
        <v>0</v>
      </c>
      <c r="J121" s="567"/>
      <c r="K121" s="982"/>
      <c r="L121" s="569">
        <f t="shared" si="4"/>
        <v>0</v>
      </c>
      <c r="M121" s="982"/>
      <c r="N121" s="569">
        <f t="shared" si="5"/>
        <v>0</v>
      </c>
      <c r="O121" s="569">
        <f t="shared" si="6"/>
        <v>0</v>
      </c>
      <c r="P121" s="524"/>
    </row>
    <row r="122" spans="1:16">
      <c r="A122" s="520"/>
      <c r="B122" s="521" t="str">
        <f t="shared" si="10"/>
        <v/>
      </c>
      <c r="C122" s="564" t="str">
        <f>IF(D100="","-",+C121+1)</f>
        <v>-</v>
      </c>
      <c r="D122" s="570">
        <f t="shared" si="7"/>
        <v>0</v>
      </c>
      <c r="E122" s="571">
        <f>IF(+I103&lt;F121,I103,D122)</f>
        <v>0</v>
      </c>
      <c r="F122" s="570">
        <f t="shared" si="2"/>
        <v>0</v>
      </c>
      <c r="G122" s="571">
        <f t="shared" si="8"/>
        <v>0</v>
      </c>
      <c r="H122" s="549">
        <f t="shared" si="9"/>
        <v>0</v>
      </c>
      <c r="I122" s="567">
        <f t="shared" si="3"/>
        <v>0</v>
      </c>
      <c r="J122" s="567"/>
      <c r="K122" s="982"/>
      <c r="L122" s="569">
        <f t="shared" si="4"/>
        <v>0</v>
      </c>
      <c r="M122" s="982"/>
      <c r="N122" s="569">
        <f t="shared" si="5"/>
        <v>0</v>
      </c>
      <c r="O122" s="569">
        <f t="shared" si="6"/>
        <v>0</v>
      </c>
      <c r="P122" s="524"/>
    </row>
    <row r="123" spans="1:16">
      <c r="A123" s="520"/>
      <c r="B123" s="521" t="str">
        <f t="shared" si="10"/>
        <v/>
      </c>
      <c r="C123" s="564" t="str">
        <f>IF(D100="","-",+C122+1)</f>
        <v>-</v>
      </c>
      <c r="D123" s="570">
        <f t="shared" si="7"/>
        <v>0</v>
      </c>
      <c r="E123" s="571">
        <f>IF(+I103&lt;F122,I103,D123)</f>
        <v>0</v>
      </c>
      <c r="F123" s="570">
        <f t="shared" si="2"/>
        <v>0</v>
      </c>
      <c r="G123" s="571">
        <f t="shared" si="8"/>
        <v>0</v>
      </c>
      <c r="H123" s="549">
        <f t="shared" si="9"/>
        <v>0</v>
      </c>
      <c r="I123" s="567">
        <f t="shared" si="3"/>
        <v>0</v>
      </c>
      <c r="J123" s="567"/>
      <c r="K123" s="982"/>
      <c r="L123" s="569">
        <f t="shared" si="4"/>
        <v>0</v>
      </c>
      <c r="M123" s="982"/>
      <c r="N123" s="569">
        <f t="shared" si="5"/>
        <v>0</v>
      </c>
      <c r="O123" s="569">
        <f t="shared" si="6"/>
        <v>0</v>
      </c>
      <c r="P123" s="524"/>
    </row>
    <row r="124" spans="1:16">
      <c r="A124" s="520"/>
      <c r="B124" s="521" t="str">
        <f t="shared" si="10"/>
        <v/>
      </c>
      <c r="C124" s="564" t="str">
        <f>IF(D100="","-",+C123+1)</f>
        <v>-</v>
      </c>
      <c r="D124" s="570">
        <f t="shared" si="7"/>
        <v>0</v>
      </c>
      <c r="E124" s="571">
        <f>IF(+I103&lt;F123,I103,D124)</f>
        <v>0</v>
      </c>
      <c r="F124" s="570">
        <f t="shared" si="2"/>
        <v>0</v>
      </c>
      <c r="G124" s="571">
        <f t="shared" si="8"/>
        <v>0</v>
      </c>
      <c r="H124" s="549">
        <f t="shared" si="9"/>
        <v>0</v>
      </c>
      <c r="I124" s="567">
        <f t="shared" si="3"/>
        <v>0</v>
      </c>
      <c r="J124" s="567"/>
      <c r="K124" s="982"/>
      <c r="L124" s="569">
        <f t="shared" si="4"/>
        <v>0</v>
      </c>
      <c r="M124" s="982"/>
      <c r="N124" s="569">
        <f t="shared" si="5"/>
        <v>0</v>
      </c>
      <c r="O124" s="569">
        <f t="shared" si="6"/>
        <v>0</v>
      </c>
      <c r="P124" s="524"/>
    </row>
    <row r="125" spans="1:16">
      <c r="A125" s="520"/>
      <c r="B125" s="521" t="str">
        <f t="shared" si="10"/>
        <v/>
      </c>
      <c r="C125" s="564" t="str">
        <f>IF(D100="","-",+C124+1)</f>
        <v>-</v>
      </c>
      <c r="D125" s="570">
        <f t="shared" si="7"/>
        <v>0</v>
      </c>
      <c r="E125" s="571">
        <f>IF(+I103&lt;F124,I103,D125)</f>
        <v>0</v>
      </c>
      <c r="F125" s="570">
        <f t="shared" si="2"/>
        <v>0</v>
      </c>
      <c r="G125" s="571">
        <f t="shared" si="8"/>
        <v>0</v>
      </c>
      <c r="H125" s="549">
        <f t="shared" si="9"/>
        <v>0</v>
      </c>
      <c r="I125" s="567">
        <f t="shared" si="3"/>
        <v>0</v>
      </c>
      <c r="J125" s="567"/>
      <c r="K125" s="982"/>
      <c r="L125" s="569">
        <f t="shared" si="4"/>
        <v>0</v>
      </c>
      <c r="M125" s="982"/>
      <c r="N125" s="569">
        <f t="shared" si="5"/>
        <v>0</v>
      </c>
      <c r="O125" s="569">
        <f t="shared" si="6"/>
        <v>0</v>
      </c>
      <c r="P125" s="524"/>
    </row>
    <row r="126" spans="1:16">
      <c r="A126" s="520"/>
      <c r="B126" s="521" t="str">
        <f t="shared" si="10"/>
        <v/>
      </c>
      <c r="C126" s="564" t="str">
        <f>IF(D100="","-",+C125+1)</f>
        <v>-</v>
      </c>
      <c r="D126" s="570">
        <f t="shared" si="7"/>
        <v>0</v>
      </c>
      <c r="E126" s="571">
        <f>IF(+I103&lt;F125,I103,D126)</f>
        <v>0</v>
      </c>
      <c r="F126" s="570">
        <f t="shared" si="2"/>
        <v>0</v>
      </c>
      <c r="G126" s="571">
        <f t="shared" si="8"/>
        <v>0</v>
      </c>
      <c r="H126" s="549">
        <f t="shared" si="9"/>
        <v>0</v>
      </c>
      <c r="I126" s="567">
        <f t="shared" si="3"/>
        <v>0</v>
      </c>
      <c r="J126" s="567"/>
      <c r="K126" s="982"/>
      <c r="L126" s="569">
        <f t="shared" si="4"/>
        <v>0</v>
      </c>
      <c r="M126" s="982"/>
      <c r="N126" s="569">
        <f t="shared" si="5"/>
        <v>0</v>
      </c>
      <c r="O126" s="569">
        <f t="shared" si="6"/>
        <v>0</v>
      </c>
      <c r="P126" s="524"/>
    </row>
    <row r="127" spans="1:16">
      <c r="A127" s="520"/>
      <c r="B127" s="521" t="str">
        <f t="shared" si="10"/>
        <v/>
      </c>
      <c r="C127" s="564" t="str">
        <f>IF(D100="","-",+C126+1)</f>
        <v>-</v>
      </c>
      <c r="D127" s="570">
        <f t="shared" si="7"/>
        <v>0</v>
      </c>
      <c r="E127" s="571">
        <f>IF(+I103&lt;F126,I103,D127)</f>
        <v>0</v>
      </c>
      <c r="F127" s="570">
        <f t="shared" si="2"/>
        <v>0</v>
      </c>
      <c r="G127" s="571">
        <f t="shared" si="8"/>
        <v>0</v>
      </c>
      <c r="H127" s="549">
        <f t="shared" si="9"/>
        <v>0</v>
      </c>
      <c r="I127" s="567">
        <f t="shared" si="3"/>
        <v>0</v>
      </c>
      <c r="J127" s="567"/>
      <c r="K127" s="982"/>
      <c r="L127" s="569">
        <f t="shared" si="4"/>
        <v>0</v>
      </c>
      <c r="M127" s="982"/>
      <c r="N127" s="569">
        <f t="shared" si="5"/>
        <v>0</v>
      </c>
      <c r="O127" s="569">
        <f t="shared" si="6"/>
        <v>0</v>
      </c>
      <c r="P127" s="524"/>
    </row>
    <row r="128" spans="1:16">
      <c r="A128" s="520"/>
      <c r="B128" s="521" t="str">
        <f t="shared" si="10"/>
        <v/>
      </c>
      <c r="C128" s="564" t="str">
        <f>IF(D100="","-",+C127+1)</f>
        <v>-</v>
      </c>
      <c r="D128" s="570">
        <f t="shared" si="7"/>
        <v>0</v>
      </c>
      <c r="E128" s="571">
        <f>IF(+I103&lt;F127,I103,D128)</f>
        <v>0</v>
      </c>
      <c r="F128" s="570">
        <f t="shared" si="2"/>
        <v>0</v>
      </c>
      <c r="G128" s="571">
        <f t="shared" si="8"/>
        <v>0</v>
      </c>
      <c r="H128" s="549">
        <f t="shared" si="9"/>
        <v>0</v>
      </c>
      <c r="I128" s="567">
        <f t="shared" si="3"/>
        <v>0</v>
      </c>
      <c r="J128" s="567"/>
      <c r="K128" s="982"/>
      <c r="L128" s="569">
        <f t="shared" si="4"/>
        <v>0</v>
      </c>
      <c r="M128" s="982"/>
      <c r="N128" s="569">
        <f t="shared" si="5"/>
        <v>0</v>
      </c>
      <c r="O128" s="569">
        <f t="shared" si="6"/>
        <v>0</v>
      </c>
      <c r="P128" s="524"/>
    </row>
    <row r="129" spans="1:16">
      <c r="A129" s="520"/>
      <c r="B129" s="521" t="str">
        <f t="shared" si="10"/>
        <v/>
      </c>
      <c r="C129" s="564" t="str">
        <f>IF(D100="","-",+C128+1)</f>
        <v>-</v>
      </c>
      <c r="D129" s="570">
        <f t="shared" si="7"/>
        <v>0</v>
      </c>
      <c r="E129" s="571">
        <f>IF(+I103&lt;F128,I103,D129)</f>
        <v>0</v>
      </c>
      <c r="F129" s="570">
        <f t="shared" si="2"/>
        <v>0</v>
      </c>
      <c r="G129" s="571">
        <f t="shared" si="8"/>
        <v>0</v>
      </c>
      <c r="H129" s="549">
        <f t="shared" si="9"/>
        <v>0</v>
      </c>
      <c r="I129" s="567">
        <f t="shared" si="3"/>
        <v>0</v>
      </c>
      <c r="J129" s="567"/>
      <c r="K129" s="982"/>
      <c r="L129" s="569">
        <f t="shared" si="4"/>
        <v>0</v>
      </c>
      <c r="M129" s="982"/>
      <c r="N129" s="569">
        <f t="shared" si="5"/>
        <v>0</v>
      </c>
      <c r="O129" s="569">
        <f t="shared" si="6"/>
        <v>0</v>
      </c>
      <c r="P129" s="524"/>
    </row>
    <row r="130" spans="1:16">
      <c r="A130" s="520"/>
      <c r="B130" s="521" t="str">
        <f t="shared" si="10"/>
        <v/>
      </c>
      <c r="C130" s="564" t="str">
        <f>IF(D100="","-",+C129+1)</f>
        <v>-</v>
      </c>
      <c r="D130" s="570">
        <f t="shared" si="7"/>
        <v>0</v>
      </c>
      <c r="E130" s="571">
        <f>IF(+I103&lt;F129,I103,D130)</f>
        <v>0</v>
      </c>
      <c r="F130" s="570">
        <f t="shared" si="2"/>
        <v>0</v>
      </c>
      <c r="G130" s="571">
        <f t="shared" si="8"/>
        <v>0</v>
      </c>
      <c r="H130" s="549">
        <f t="shared" si="9"/>
        <v>0</v>
      </c>
      <c r="I130" s="567">
        <f t="shared" si="3"/>
        <v>0</v>
      </c>
      <c r="J130" s="567"/>
      <c r="K130" s="982"/>
      <c r="L130" s="569">
        <f t="shared" si="4"/>
        <v>0</v>
      </c>
      <c r="M130" s="982"/>
      <c r="N130" s="569">
        <f t="shared" si="5"/>
        <v>0</v>
      </c>
      <c r="O130" s="569">
        <f t="shared" si="6"/>
        <v>0</v>
      </c>
      <c r="P130" s="524"/>
    </row>
    <row r="131" spans="1:16">
      <c r="A131" s="520"/>
      <c r="B131" s="521" t="str">
        <f t="shared" si="10"/>
        <v/>
      </c>
      <c r="C131" s="564" t="str">
        <f>IF(D100="","-",+C130+1)</f>
        <v>-</v>
      </c>
      <c r="D131" s="570">
        <f t="shared" si="7"/>
        <v>0</v>
      </c>
      <c r="E131" s="571">
        <f>IF(+I103&lt;F130,I103,D131)</f>
        <v>0</v>
      </c>
      <c r="F131" s="570">
        <f t="shared" si="2"/>
        <v>0</v>
      </c>
      <c r="G131" s="571">
        <f t="shared" si="8"/>
        <v>0</v>
      </c>
      <c r="H131" s="549">
        <f t="shared" si="9"/>
        <v>0</v>
      </c>
      <c r="I131" s="567">
        <f t="shared" si="3"/>
        <v>0</v>
      </c>
      <c r="J131" s="567"/>
      <c r="K131" s="982"/>
      <c r="L131" s="569">
        <f t="shared" si="4"/>
        <v>0</v>
      </c>
      <c r="M131" s="982"/>
      <c r="N131" s="569">
        <f t="shared" si="5"/>
        <v>0</v>
      </c>
      <c r="O131" s="569">
        <f t="shared" si="6"/>
        <v>0</v>
      </c>
      <c r="P131" s="524"/>
    </row>
    <row r="132" spans="1:16">
      <c r="A132" s="520"/>
      <c r="B132" s="521" t="str">
        <f t="shared" si="10"/>
        <v/>
      </c>
      <c r="C132" s="564" t="str">
        <f>IF(D100="","-",+C131+1)</f>
        <v>-</v>
      </c>
      <c r="D132" s="570">
        <f t="shared" si="7"/>
        <v>0</v>
      </c>
      <c r="E132" s="571">
        <f>IF(+I103&lt;F131,I103,D132)</f>
        <v>0</v>
      </c>
      <c r="F132" s="570">
        <f t="shared" si="2"/>
        <v>0</v>
      </c>
      <c r="G132" s="571">
        <f t="shared" si="8"/>
        <v>0</v>
      </c>
      <c r="H132" s="549">
        <f t="shared" si="9"/>
        <v>0</v>
      </c>
      <c r="I132" s="567">
        <f t="shared" si="3"/>
        <v>0</v>
      </c>
      <c r="J132" s="567"/>
      <c r="K132" s="982"/>
      <c r="L132" s="569">
        <f t="shared" si="4"/>
        <v>0</v>
      </c>
      <c r="M132" s="982"/>
      <c r="N132" s="569">
        <f t="shared" si="5"/>
        <v>0</v>
      </c>
      <c r="O132" s="569">
        <f t="shared" si="6"/>
        <v>0</v>
      </c>
      <c r="P132" s="524"/>
    </row>
    <row r="133" spans="1:16">
      <c r="A133" s="520"/>
      <c r="B133" s="521" t="str">
        <f t="shared" si="10"/>
        <v/>
      </c>
      <c r="C133" s="564" t="str">
        <f>IF(D100="","-",+C132+1)</f>
        <v>-</v>
      </c>
      <c r="D133" s="570">
        <f t="shared" si="7"/>
        <v>0</v>
      </c>
      <c r="E133" s="571">
        <f>IF(+I103&lt;F132,I103,D133)</f>
        <v>0</v>
      </c>
      <c r="F133" s="570">
        <f t="shared" si="2"/>
        <v>0</v>
      </c>
      <c r="G133" s="571">
        <f t="shared" si="8"/>
        <v>0</v>
      </c>
      <c r="H133" s="549">
        <f t="shared" si="9"/>
        <v>0</v>
      </c>
      <c r="I133" s="567">
        <f t="shared" si="3"/>
        <v>0</v>
      </c>
      <c r="J133" s="567"/>
      <c r="K133" s="982"/>
      <c r="L133" s="569">
        <f t="shared" si="4"/>
        <v>0</v>
      </c>
      <c r="M133" s="982"/>
      <c r="N133" s="569">
        <f t="shared" si="5"/>
        <v>0</v>
      </c>
      <c r="O133" s="569">
        <f t="shared" si="6"/>
        <v>0</v>
      </c>
      <c r="P133" s="524"/>
    </row>
    <row r="134" spans="1:16">
      <c r="A134" s="520"/>
      <c r="B134" s="521" t="str">
        <f t="shared" si="10"/>
        <v/>
      </c>
      <c r="C134" s="564" t="str">
        <f>IF(D100="","-",+C133+1)</f>
        <v>-</v>
      </c>
      <c r="D134" s="570">
        <f t="shared" si="7"/>
        <v>0</v>
      </c>
      <c r="E134" s="571">
        <f>IF(+I103&lt;F133,I103,D134)</f>
        <v>0</v>
      </c>
      <c r="F134" s="570">
        <f t="shared" si="2"/>
        <v>0</v>
      </c>
      <c r="G134" s="571">
        <f t="shared" si="8"/>
        <v>0</v>
      </c>
      <c r="H134" s="549">
        <f t="shared" si="9"/>
        <v>0</v>
      </c>
      <c r="I134" s="567">
        <f t="shared" si="3"/>
        <v>0</v>
      </c>
      <c r="J134" s="567"/>
      <c r="K134" s="982"/>
      <c r="L134" s="569">
        <f t="shared" si="4"/>
        <v>0</v>
      </c>
      <c r="M134" s="982"/>
      <c r="N134" s="569">
        <f t="shared" si="5"/>
        <v>0</v>
      </c>
      <c r="O134" s="569">
        <f t="shared" si="6"/>
        <v>0</v>
      </c>
      <c r="P134" s="524"/>
    </row>
    <row r="135" spans="1:16">
      <c r="A135" s="520"/>
      <c r="B135" s="521" t="str">
        <f t="shared" si="10"/>
        <v/>
      </c>
      <c r="C135" s="564" t="str">
        <f>IF(D100="","-",+C134+1)</f>
        <v>-</v>
      </c>
      <c r="D135" s="570">
        <f t="shared" si="7"/>
        <v>0</v>
      </c>
      <c r="E135" s="571">
        <f>IF(+I103&lt;F134,I103,D135)</f>
        <v>0</v>
      </c>
      <c r="F135" s="570">
        <f t="shared" si="2"/>
        <v>0</v>
      </c>
      <c r="G135" s="571">
        <f t="shared" si="8"/>
        <v>0</v>
      </c>
      <c r="H135" s="549">
        <f t="shared" si="9"/>
        <v>0</v>
      </c>
      <c r="I135" s="567">
        <f t="shared" si="3"/>
        <v>0</v>
      </c>
      <c r="J135" s="567"/>
      <c r="K135" s="982"/>
      <c r="L135" s="569">
        <f t="shared" si="4"/>
        <v>0</v>
      </c>
      <c r="M135" s="982"/>
      <c r="N135" s="569">
        <f t="shared" si="5"/>
        <v>0</v>
      </c>
      <c r="O135" s="569">
        <f t="shared" si="6"/>
        <v>0</v>
      </c>
      <c r="P135" s="524"/>
    </row>
    <row r="136" spans="1:16">
      <c r="A136" s="520"/>
      <c r="B136" s="521" t="str">
        <f t="shared" si="10"/>
        <v/>
      </c>
      <c r="C136" s="564" t="str">
        <f>IF(D100="","-",+C135+1)</f>
        <v>-</v>
      </c>
      <c r="D136" s="570">
        <f t="shared" si="7"/>
        <v>0</v>
      </c>
      <c r="E136" s="571">
        <f>IF(+I103&lt;F135,I103,D136)</f>
        <v>0</v>
      </c>
      <c r="F136" s="570">
        <f t="shared" si="2"/>
        <v>0</v>
      </c>
      <c r="G136" s="571">
        <f t="shared" si="8"/>
        <v>0</v>
      </c>
      <c r="H136" s="549">
        <f t="shared" si="9"/>
        <v>0</v>
      </c>
      <c r="I136" s="567">
        <f t="shared" si="3"/>
        <v>0</v>
      </c>
      <c r="J136" s="567"/>
      <c r="K136" s="982"/>
      <c r="L136" s="569">
        <f t="shared" si="4"/>
        <v>0</v>
      </c>
      <c r="M136" s="982"/>
      <c r="N136" s="569">
        <f t="shared" si="5"/>
        <v>0</v>
      </c>
      <c r="O136" s="569">
        <f t="shared" si="6"/>
        <v>0</v>
      </c>
      <c r="P136" s="524"/>
    </row>
    <row r="137" spans="1:16">
      <c r="A137" s="520"/>
      <c r="B137" s="521" t="str">
        <f t="shared" si="10"/>
        <v/>
      </c>
      <c r="C137" s="564" t="str">
        <f>IF(D100="","-",+C136+1)</f>
        <v>-</v>
      </c>
      <c r="D137" s="570">
        <f t="shared" si="7"/>
        <v>0</v>
      </c>
      <c r="E137" s="571">
        <f>IF(+I103&lt;F136,I103,D137)</f>
        <v>0</v>
      </c>
      <c r="F137" s="570">
        <f t="shared" si="2"/>
        <v>0</v>
      </c>
      <c r="G137" s="571">
        <f t="shared" si="8"/>
        <v>0</v>
      </c>
      <c r="H137" s="549">
        <f t="shared" si="9"/>
        <v>0</v>
      </c>
      <c r="I137" s="567">
        <f t="shared" si="3"/>
        <v>0</v>
      </c>
      <c r="J137" s="567"/>
      <c r="K137" s="982"/>
      <c r="L137" s="569">
        <f t="shared" si="4"/>
        <v>0</v>
      </c>
      <c r="M137" s="982"/>
      <c r="N137" s="569">
        <f t="shared" si="5"/>
        <v>0</v>
      </c>
      <c r="O137" s="569">
        <f t="shared" si="6"/>
        <v>0</v>
      </c>
      <c r="P137" s="524"/>
    </row>
    <row r="138" spans="1:16">
      <c r="A138" s="520"/>
      <c r="B138" s="521" t="str">
        <f t="shared" si="10"/>
        <v/>
      </c>
      <c r="C138" s="564" t="str">
        <f>IF(D100="","-",+C137+1)</f>
        <v>-</v>
      </c>
      <c r="D138" s="570">
        <f t="shared" si="7"/>
        <v>0</v>
      </c>
      <c r="E138" s="571">
        <f>IF(+I103&lt;F137,I103,D138)</f>
        <v>0</v>
      </c>
      <c r="F138" s="570">
        <f t="shared" si="2"/>
        <v>0</v>
      </c>
      <c r="G138" s="571">
        <f t="shared" si="8"/>
        <v>0</v>
      </c>
      <c r="H138" s="549">
        <f t="shared" si="9"/>
        <v>0</v>
      </c>
      <c r="I138" s="567">
        <f t="shared" si="3"/>
        <v>0</v>
      </c>
      <c r="J138" s="567"/>
      <c r="K138" s="982"/>
      <c r="L138" s="569">
        <f t="shared" si="4"/>
        <v>0</v>
      </c>
      <c r="M138" s="982"/>
      <c r="N138" s="569">
        <f t="shared" si="5"/>
        <v>0</v>
      </c>
      <c r="O138" s="569">
        <f t="shared" si="6"/>
        <v>0</v>
      </c>
      <c r="P138" s="524"/>
    </row>
    <row r="139" spans="1:16">
      <c r="A139" s="520"/>
      <c r="B139" s="521" t="str">
        <f t="shared" si="10"/>
        <v/>
      </c>
      <c r="C139" s="564" t="str">
        <f>IF(D100="","-",+C138+1)</f>
        <v>-</v>
      </c>
      <c r="D139" s="570">
        <f t="shared" si="7"/>
        <v>0</v>
      </c>
      <c r="E139" s="571">
        <f>IF(+I103&lt;F138,I103,D139)</f>
        <v>0</v>
      </c>
      <c r="F139" s="570">
        <f t="shared" si="2"/>
        <v>0</v>
      </c>
      <c r="G139" s="571">
        <f t="shared" si="8"/>
        <v>0</v>
      </c>
      <c r="H139" s="549">
        <f t="shared" si="9"/>
        <v>0</v>
      </c>
      <c r="I139" s="567">
        <f t="shared" si="3"/>
        <v>0</v>
      </c>
      <c r="J139" s="567"/>
      <c r="K139" s="982"/>
      <c r="L139" s="569">
        <f t="shared" si="4"/>
        <v>0</v>
      </c>
      <c r="M139" s="982"/>
      <c r="N139" s="569">
        <f t="shared" si="5"/>
        <v>0</v>
      </c>
      <c r="O139" s="569">
        <f t="shared" si="6"/>
        <v>0</v>
      </c>
      <c r="P139" s="524"/>
    </row>
    <row r="140" spans="1:16">
      <c r="A140" s="520"/>
      <c r="B140" s="521" t="str">
        <f t="shared" si="10"/>
        <v/>
      </c>
      <c r="C140" s="564" t="str">
        <f>IF(D100="","-",+C139+1)</f>
        <v>-</v>
      </c>
      <c r="D140" s="570">
        <f t="shared" si="7"/>
        <v>0</v>
      </c>
      <c r="E140" s="571">
        <f>IF(+I103&lt;F139,I103,D140)</f>
        <v>0</v>
      </c>
      <c r="F140" s="570">
        <f t="shared" si="2"/>
        <v>0</v>
      </c>
      <c r="G140" s="571">
        <f t="shared" si="8"/>
        <v>0</v>
      </c>
      <c r="H140" s="549">
        <f t="shared" si="9"/>
        <v>0</v>
      </c>
      <c r="I140" s="567">
        <f t="shared" si="3"/>
        <v>0</v>
      </c>
      <c r="J140" s="567"/>
      <c r="K140" s="982"/>
      <c r="L140" s="569">
        <f t="shared" si="4"/>
        <v>0</v>
      </c>
      <c r="M140" s="982"/>
      <c r="N140" s="569">
        <f t="shared" si="5"/>
        <v>0</v>
      </c>
      <c r="O140" s="569">
        <f t="shared" si="6"/>
        <v>0</v>
      </c>
      <c r="P140" s="524"/>
    </row>
    <row r="141" spans="1:16">
      <c r="A141" s="520"/>
      <c r="B141" s="521" t="str">
        <f t="shared" si="10"/>
        <v/>
      </c>
      <c r="C141" s="564" t="str">
        <f>IF(D100="","-",+C140+1)</f>
        <v>-</v>
      </c>
      <c r="D141" s="570">
        <f t="shared" si="7"/>
        <v>0</v>
      </c>
      <c r="E141" s="571">
        <f>IF(+I103&lt;F140,I103,D141)</f>
        <v>0</v>
      </c>
      <c r="F141" s="570">
        <f t="shared" si="2"/>
        <v>0</v>
      </c>
      <c r="G141" s="571">
        <f t="shared" si="8"/>
        <v>0</v>
      </c>
      <c r="H141" s="549">
        <f t="shared" si="9"/>
        <v>0</v>
      </c>
      <c r="I141" s="567">
        <f t="shared" si="3"/>
        <v>0</v>
      </c>
      <c r="J141" s="567"/>
      <c r="K141" s="982"/>
      <c r="L141" s="569">
        <f t="shared" si="4"/>
        <v>0</v>
      </c>
      <c r="M141" s="982"/>
      <c r="N141" s="569">
        <f t="shared" si="5"/>
        <v>0</v>
      </c>
      <c r="O141" s="569">
        <f t="shared" si="6"/>
        <v>0</v>
      </c>
      <c r="P141" s="524"/>
    </row>
    <row r="142" spans="1:16">
      <c r="A142" s="520"/>
      <c r="B142" s="521" t="str">
        <f t="shared" si="10"/>
        <v/>
      </c>
      <c r="C142" s="564" t="str">
        <f>IF(D100="","-",+C141+1)</f>
        <v>-</v>
      </c>
      <c r="D142" s="570">
        <f t="shared" si="7"/>
        <v>0</v>
      </c>
      <c r="E142" s="571">
        <f>IF(+I103&lt;F141,I103,D142)</f>
        <v>0</v>
      </c>
      <c r="F142" s="570">
        <f t="shared" si="2"/>
        <v>0</v>
      </c>
      <c r="G142" s="571">
        <f t="shared" si="8"/>
        <v>0</v>
      </c>
      <c r="H142" s="549">
        <f t="shared" si="9"/>
        <v>0</v>
      </c>
      <c r="I142" s="567">
        <f t="shared" si="3"/>
        <v>0</v>
      </c>
      <c r="J142" s="567"/>
      <c r="K142" s="982"/>
      <c r="L142" s="569">
        <f t="shared" si="4"/>
        <v>0</v>
      </c>
      <c r="M142" s="982"/>
      <c r="N142" s="569">
        <f t="shared" si="5"/>
        <v>0</v>
      </c>
      <c r="O142" s="569">
        <f t="shared" si="6"/>
        <v>0</v>
      </c>
      <c r="P142" s="524"/>
    </row>
    <row r="143" spans="1:16">
      <c r="A143" s="520"/>
      <c r="B143" s="521" t="str">
        <f t="shared" si="10"/>
        <v/>
      </c>
      <c r="C143" s="564" t="str">
        <f>IF(D100="","-",+C142+1)</f>
        <v>-</v>
      </c>
      <c r="D143" s="570">
        <f t="shared" si="7"/>
        <v>0</v>
      </c>
      <c r="E143" s="571">
        <f>IF(+I103&lt;F142,I103,D143)</f>
        <v>0</v>
      </c>
      <c r="F143" s="570">
        <f t="shared" si="2"/>
        <v>0</v>
      </c>
      <c r="G143" s="571">
        <f t="shared" si="8"/>
        <v>0</v>
      </c>
      <c r="H143" s="549">
        <f t="shared" si="9"/>
        <v>0</v>
      </c>
      <c r="I143" s="567">
        <f t="shared" si="3"/>
        <v>0</v>
      </c>
      <c r="J143" s="567"/>
      <c r="K143" s="982"/>
      <c r="L143" s="569">
        <f t="shared" si="4"/>
        <v>0</v>
      </c>
      <c r="M143" s="982"/>
      <c r="N143" s="569">
        <f t="shared" si="5"/>
        <v>0</v>
      </c>
      <c r="O143" s="569">
        <f t="shared" si="6"/>
        <v>0</v>
      </c>
      <c r="P143" s="524"/>
    </row>
    <row r="144" spans="1:16">
      <c r="A144" s="520"/>
      <c r="B144" s="521" t="str">
        <f t="shared" si="10"/>
        <v/>
      </c>
      <c r="C144" s="564" t="str">
        <f>IF(D100="","-",+C143+1)</f>
        <v>-</v>
      </c>
      <c r="D144" s="570">
        <f t="shared" si="7"/>
        <v>0</v>
      </c>
      <c r="E144" s="571">
        <f>IF(+I103&lt;F143,I103,D144)</f>
        <v>0</v>
      </c>
      <c r="F144" s="570">
        <f t="shared" si="2"/>
        <v>0</v>
      </c>
      <c r="G144" s="571">
        <f t="shared" si="8"/>
        <v>0</v>
      </c>
      <c r="H144" s="549">
        <f t="shared" si="9"/>
        <v>0</v>
      </c>
      <c r="I144" s="567">
        <f t="shared" si="3"/>
        <v>0</v>
      </c>
      <c r="J144" s="567"/>
      <c r="K144" s="982"/>
      <c r="L144" s="569">
        <f t="shared" si="4"/>
        <v>0</v>
      </c>
      <c r="M144" s="982"/>
      <c r="N144" s="569">
        <f t="shared" si="5"/>
        <v>0</v>
      </c>
      <c r="O144" s="569">
        <f t="shared" si="6"/>
        <v>0</v>
      </c>
      <c r="P144" s="524"/>
    </row>
    <row r="145" spans="1:16">
      <c r="A145" s="520"/>
      <c r="B145" s="521" t="str">
        <f t="shared" si="10"/>
        <v/>
      </c>
      <c r="C145" s="564" t="str">
        <f>IF(D100="","-",+C144+1)</f>
        <v>-</v>
      </c>
      <c r="D145" s="570">
        <f t="shared" si="7"/>
        <v>0</v>
      </c>
      <c r="E145" s="571">
        <f>IF(+I103&lt;F144,I103,D145)</f>
        <v>0</v>
      </c>
      <c r="F145" s="570">
        <f t="shared" si="2"/>
        <v>0</v>
      </c>
      <c r="G145" s="571">
        <f t="shared" si="8"/>
        <v>0</v>
      </c>
      <c r="H145" s="549">
        <f t="shared" si="9"/>
        <v>0</v>
      </c>
      <c r="I145" s="567">
        <f t="shared" si="3"/>
        <v>0</v>
      </c>
      <c r="J145" s="567"/>
      <c r="K145" s="982"/>
      <c r="L145" s="569">
        <f t="shared" si="4"/>
        <v>0</v>
      </c>
      <c r="M145" s="982"/>
      <c r="N145" s="569">
        <f t="shared" si="5"/>
        <v>0</v>
      </c>
      <c r="O145" s="569">
        <f t="shared" si="6"/>
        <v>0</v>
      </c>
      <c r="P145" s="524"/>
    </row>
    <row r="146" spans="1:16">
      <c r="A146" s="520"/>
      <c r="B146" s="521" t="str">
        <f t="shared" si="10"/>
        <v/>
      </c>
      <c r="C146" s="564" t="str">
        <f>IF(D100="","-",+C145+1)</f>
        <v>-</v>
      </c>
      <c r="D146" s="570">
        <f t="shared" si="7"/>
        <v>0</v>
      </c>
      <c r="E146" s="571">
        <f>IF(+I103&lt;F145,I103,D146)</f>
        <v>0</v>
      </c>
      <c r="F146" s="570">
        <f t="shared" si="2"/>
        <v>0</v>
      </c>
      <c r="G146" s="571">
        <f t="shared" si="8"/>
        <v>0</v>
      </c>
      <c r="H146" s="549">
        <f t="shared" si="9"/>
        <v>0</v>
      </c>
      <c r="I146" s="567">
        <f t="shared" si="3"/>
        <v>0</v>
      </c>
      <c r="J146" s="567"/>
      <c r="K146" s="982"/>
      <c r="L146" s="569">
        <f t="shared" si="4"/>
        <v>0</v>
      </c>
      <c r="M146" s="982"/>
      <c r="N146" s="569">
        <f t="shared" si="5"/>
        <v>0</v>
      </c>
      <c r="O146" s="569">
        <f t="shared" si="6"/>
        <v>0</v>
      </c>
      <c r="P146" s="524"/>
    </row>
    <row r="147" spans="1:16">
      <c r="A147" s="520"/>
      <c r="B147" s="521" t="str">
        <f t="shared" si="10"/>
        <v/>
      </c>
      <c r="C147" s="564" t="str">
        <f>IF(D100="","-",+C146+1)</f>
        <v>-</v>
      </c>
      <c r="D147" s="570">
        <f t="shared" si="7"/>
        <v>0</v>
      </c>
      <c r="E147" s="571">
        <f>IF(+I103&lt;F146,I103,D147)</f>
        <v>0</v>
      </c>
      <c r="F147" s="570">
        <f t="shared" si="2"/>
        <v>0</v>
      </c>
      <c r="G147" s="571">
        <f t="shared" si="8"/>
        <v>0</v>
      </c>
      <c r="H147" s="549">
        <f t="shared" si="9"/>
        <v>0</v>
      </c>
      <c r="I147" s="567">
        <f t="shared" si="3"/>
        <v>0</v>
      </c>
      <c r="J147" s="567"/>
      <c r="K147" s="982"/>
      <c r="L147" s="569">
        <f t="shared" si="4"/>
        <v>0</v>
      </c>
      <c r="M147" s="982"/>
      <c r="N147" s="569">
        <f t="shared" si="5"/>
        <v>0</v>
      </c>
      <c r="O147" s="569">
        <f t="shared" si="6"/>
        <v>0</v>
      </c>
      <c r="P147" s="524"/>
    </row>
    <row r="148" spans="1:16">
      <c r="A148" s="520"/>
      <c r="B148" s="521" t="str">
        <f t="shared" si="10"/>
        <v/>
      </c>
      <c r="C148" s="564" t="str">
        <f>IF(D100="","-",+C147+1)</f>
        <v>-</v>
      </c>
      <c r="D148" s="570">
        <f t="shared" si="7"/>
        <v>0</v>
      </c>
      <c r="E148" s="571">
        <f>IF(+I103&lt;F147,I103,D148)</f>
        <v>0</v>
      </c>
      <c r="F148" s="570">
        <f t="shared" si="2"/>
        <v>0</v>
      </c>
      <c r="G148" s="571">
        <f t="shared" si="8"/>
        <v>0</v>
      </c>
      <c r="H148" s="549">
        <f t="shared" si="9"/>
        <v>0</v>
      </c>
      <c r="I148" s="567">
        <f t="shared" si="3"/>
        <v>0</v>
      </c>
      <c r="J148" s="567"/>
      <c r="K148" s="982"/>
      <c r="L148" s="569">
        <f t="shared" si="4"/>
        <v>0</v>
      </c>
      <c r="M148" s="982"/>
      <c r="N148" s="569">
        <f t="shared" si="5"/>
        <v>0</v>
      </c>
      <c r="O148" s="569">
        <f t="shared" si="6"/>
        <v>0</v>
      </c>
      <c r="P148" s="524"/>
    </row>
    <row r="149" spans="1:16">
      <c r="A149" s="520"/>
      <c r="B149" s="521" t="str">
        <f t="shared" si="10"/>
        <v/>
      </c>
      <c r="C149" s="564" t="str">
        <f>IF(D100="","-",+C148+1)</f>
        <v>-</v>
      </c>
      <c r="D149" s="570">
        <f t="shared" si="7"/>
        <v>0</v>
      </c>
      <c r="E149" s="571">
        <f>IF(+I103&lt;F148,I103,D149)</f>
        <v>0</v>
      </c>
      <c r="F149" s="570">
        <f t="shared" si="2"/>
        <v>0</v>
      </c>
      <c r="G149" s="571">
        <f t="shared" si="8"/>
        <v>0</v>
      </c>
      <c r="H149" s="549">
        <f t="shared" si="9"/>
        <v>0</v>
      </c>
      <c r="I149" s="567">
        <f t="shared" si="3"/>
        <v>0</v>
      </c>
      <c r="J149" s="567"/>
      <c r="K149" s="982"/>
      <c r="L149" s="569">
        <f t="shared" si="4"/>
        <v>0</v>
      </c>
      <c r="M149" s="982"/>
      <c r="N149" s="569">
        <f t="shared" si="5"/>
        <v>0</v>
      </c>
      <c r="O149" s="569">
        <f t="shared" si="6"/>
        <v>0</v>
      </c>
      <c r="P149" s="524"/>
    </row>
    <row r="150" spans="1:16">
      <c r="A150" s="520"/>
      <c r="B150" s="521" t="str">
        <f t="shared" si="10"/>
        <v/>
      </c>
      <c r="C150" s="564" t="str">
        <f>IF(D100="","-",+C149+1)</f>
        <v>-</v>
      </c>
      <c r="D150" s="570">
        <f t="shared" si="7"/>
        <v>0</v>
      </c>
      <c r="E150" s="571">
        <f>IF(+I103&lt;F149,I103,D150)</f>
        <v>0</v>
      </c>
      <c r="F150" s="570">
        <f t="shared" si="2"/>
        <v>0</v>
      </c>
      <c r="G150" s="572">
        <f t="shared" si="8"/>
        <v>0</v>
      </c>
      <c r="H150" s="549">
        <f t="shared" si="9"/>
        <v>0</v>
      </c>
      <c r="I150" s="567">
        <f t="shared" si="3"/>
        <v>0</v>
      </c>
      <c r="J150" s="567"/>
      <c r="K150" s="982"/>
      <c r="L150" s="569">
        <f t="shared" si="4"/>
        <v>0</v>
      </c>
      <c r="M150" s="982"/>
      <c r="N150" s="569">
        <f t="shared" si="5"/>
        <v>0</v>
      </c>
      <c r="O150" s="569">
        <f t="shared" si="6"/>
        <v>0</v>
      </c>
      <c r="P150" s="524"/>
    </row>
    <row r="151" spans="1:16">
      <c r="A151" s="520"/>
      <c r="B151" s="521" t="str">
        <f t="shared" si="10"/>
        <v/>
      </c>
      <c r="C151" s="564" t="str">
        <f>IF(D100="","-",+C150+1)</f>
        <v>-</v>
      </c>
      <c r="D151" s="570">
        <f t="shared" si="7"/>
        <v>0</v>
      </c>
      <c r="E151" s="571">
        <f>IF(+I103&lt;F150,I103,D151)</f>
        <v>0</v>
      </c>
      <c r="F151" s="570">
        <f t="shared" si="2"/>
        <v>0</v>
      </c>
      <c r="G151" s="572">
        <f t="shared" si="8"/>
        <v>0</v>
      </c>
      <c r="H151" s="549">
        <f t="shared" si="9"/>
        <v>0</v>
      </c>
      <c r="I151" s="567">
        <f t="shared" si="3"/>
        <v>0</v>
      </c>
      <c r="J151" s="567"/>
      <c r="K151" s="982"/>
      <c r="L151" s="569">
        <f t="shared" si="4"/>
        <v>0</v>
      </c>
      <c r="M151" s="982"/>
      <c r="N151" s="569">
        <f t="shared" si="5"/>
        <v>0</v>
      </c>
      <c r="O151" s="569">
        <f t="shared" si="6"/>
        <v>0</v>
      </c>
      <c r="P151" s="524"/>
    </row>
    <row r="152" spans="1:16">
      <c r="A152" s="520"/>
      <c r="B152" s="521" t="str">
        <f t="shared" si="10"/>
        <v/>
      </c>
      <c r="C152" s="564" t="str">
        <f>IF(D100="","-",+C151+1)</f>
        <v>-</v>
      </c>
      <c r="D152" s="570">
        <f t="shared" si="7"/>
        <v>0</v>
      </c>
      <c r="E152" s="571">
        <f>IF(+I103&lt;F151,I103,D152)</f>
        <v>0</v>
      </c>
      <c r="F152" s="570">
        <f t="shared" si="2"/>
        <v>0</v>
      </c>
      <c r="G152" s="572">
        <f t="shared" si="8"/>
        <v>0</v>
      </c>
      <c r="H152" s="549">
        <f t="shared" si="9"/>
        <v>0</v>
      </c>
      <c r="I152" s="567">
        <f t="shared" si="3"/>
        <v>0</v>
      </c>
      <c r="J152" s="567"/>
      <c r="K152" s="982"/>
      <c r="L152" s="569">
        <f t="shared" si="4"/>
        <v>0</v>
      </c>
      <c r="M152" s="982"/>
      <c r="N152" s="569">
        <f t="shared" si="5"/>
        <v>0</v>
      </c>
      <c r="O152" s="569">
        <f t="shared" si="6"/>
        <v>0</v>
      </c>
      <c r="P152" s="524"/>
    </row>
    <row r="153" spans="1:16">
      <c r="A153" s="520"/>
      <c r="B153" s="521" t="str">
        <f t="shared" si="10"/>
        <v/>
      </c>
      <c r="C153" s="564" t="str">
        <f>IF(D100="","-",+C152+1)</f>
        <v>-</v>
      </c>
      <c r="D153" s="570">
        <f t="shared" si="7"/>
        <v>0</v>
      </c>
      <c r="E153" s="571">
        <f>IF(+I103&lt;F152,I103,D153)</f>
        <v>0</v>
      </c>
      <c r="F153" s="570">
        <f t="shared" si="2"/>
        <v>0</v>
      </c>
      <c r="G153" s="572">
        <f t="shared" si="8"/>
        <v>0</v>
      </c>
      <c r="H153" s="549">
        <f t="shared" si="9"/>
        <v>0</v>
      </c>
      <c r="I153" s="567">
        <f t="shared" si="3"/>
        <v>0</v>
      </c>
      <c r="J153" s="567"/>
      <c r="K153" s="982"/>
      <c r="L153" s="569">
        <f t="shared" si="4"/>
        <v>0</v>
      </c>
      <c r="M153" s="982"/>
      <c r="N153" s="569">
        <f t="shared" si="5"/>
        <v>0</v>
      </c>
      <c r="O153" s="569">
        <f t="shared" si="6"/>
        <v>0</v>
      </c>
      <c r="P153" s="524"/>
    </row>
    <row r="154" spans="1:16">
      <c r="A154" s="520"/>
      <c r="B154" s="521" t="str">
        <f t="shared" si="10"/>
        <v/>
      </c>
      <c r="C154" s="564" t="str">
        <f>IF(D100="","-",+C153+1)</f>
        <v>-</v>
      </c>
      <c r="D154" s="570">
        <f t="shared" si="7"/>
        <v>0</v>
      </c>
      <c r="E154" s="571">
        <f>IF(+I103&lt;F153,I103,D154)</f>
        <v>0</v>
      </c>
      <c r="F154" s="570">
        <f t="shared" si="2"/>
        <v>0</v>
      </c>
      <c r="G154" s="572">
        <f t="shared" si="8"/>
        <v>0</v>
      </c>
      <c r="H154" s="549">
        <f t="shared" si="9"/>
        <v>0</v>
      </c>
      <c r="I154" s="567">
        <f t="shared" si="3"/>
        <v>0</v>
      </c>
      <c r="J154" s="567"/>
      <c r="K154" s="982"/>
      <c r="L154" s="569">
        <f t="shared" si="4"/>
        <v>0</v>
      </c>
      <c r="M154" s="982"/>
      <c r="N154" s="569">
        <f t="shared" si="5"/>
        <v>0</v>
      </c>
      <c r="O154" s="569">
        <f t="shared" si="6"/>
        <v>0</v>
      </c>
      <c r="P154" s="524"/>
    </row>
    <row r="155" spans="1:16">
      <c r="A155" s="520"/>
      <c r="B155" s="521" t="str">
        <f t="shared" si="10"/>
        <v/>
      </c>
      <c r="C155" s="564" t="str">
        <f>IF(D100="","-",+C154+1)</f>
        <v>-</v>
      </c>
      <c r="D155" s="570">
        <f t="shared" si="7"/>
        <v>0</v>
      </c>
      <c r="E155" s="571">
        <f>IF(+I103&lt;F154,I103,D155)</f>
        <v>0</v>
      </c>
      <c r="F155" s="570">
        <f t="shared" si="2"/>
        <v>0</v>
      </c>
      <c r="G155" s="572">
        <f t="shared" si="8"/>
        <v>0</v>
      </c>
      <c r="H155" s="549">
        <f t="shared" si="9"/>
        <v>0</v>
      </c>
      <c r="I155" s="567">
        <f t="shared" si="3"/>
        <v>0</v>
      </c>
      <c r="J155" s="567"/>
      <c r="K155" s="982"/>
      <c r="L155" s="569">
        <f t="shared" si="4"/>
        <v>0</v>
      </c>
      <c r="M155" s="982"/>
      <c r="N155" s="569">
        <f t="shared" si="5"/>
        <v>0</v>
      </c>
      <c r="O155" s="569">
        <f t="shared" si="6"/>
        <v>0</v>
      </c>
      <c r="P155" s="524"/>
    </row>
    <row r="156" spans="1:16">
      <c r="A156" s="520"/>
      <c r="B156" s="521" t="str">
        <f t="shared" si="10"/>
        <v/>
      </c>
      <c r="C156" s="564" t="str">
        <f>IF(D100="","-",+C155+1)</f>
        <v>-</v>
      </c>
      <c r="D156" s="570">
        <f t="shared" si="7"/>
        <v>0</v>
      </c>
      <c r="E156" s="571">
        <f>IF(+I103&lt;F155,I103,D156)</f>
        <v>0</v>
      </c>
      <c r="F156" s="570">
        <f t="shared" si="2"/>
        <v>0</v>
      </c>
      <c r="G156" s="572">
        <f t="shared" si="8"/>
        <v>0</v>
      </c>
      <c r="H156" s="549">
        <f t="shared" si="9"/>
        <v>0</v>
      </c>
      <c r="I156" s="567">
        <f t="shared" si="3"/>
        <v>0</v>
      </c>
      <c r="J156" s="567"/>
      <c r="K156" s="982"/>
      <c r="L156" s="569">
        <f t="shared" si="4"/>
        <v>0</v>
      </c>
      <c r="M156" s="982"/>
      <c r="N156" s="569">
        <f t="shared" si="5"/>
        <v>0</v>
      </c>
      <c r="O156" s="569">
        <f t="shared" si="6"/>
        <v>0</v>
      </c>
      <c r="P156" s="524"/>
    </row>
    <row r="157" spans="1:16">
      <c r="A157" s="520"/>
      <c r="B157" s="521" t="str">
        <f t="shared" si="10"/>
        <v/>
      </c>
      <c r="C157" s="564" t="str">
        <f>IF(D100="","-",+C156+1)</f>
        <v>-</v>
      </c>
      <c r="D157" s="570">
        <f t="shared" si="7"/>
        <v>0</v>
      </c>
      <c r="E157" s="571">
        <f>IF(+I103&lt;F156,I103,D157)</f>
        <v>0</v>
      </c>
      <c r="F157" s="570">
        <f t="shared" si="2"/>
        <v>0</v>
      </c>
      <c r="G157" s="572">
        <f t="shared" si="8"/>
        <v>0</v>
      </c>
      <c r="H157" s="549">
        <f t="shared" si="9"/>
        <v>0</v>
      </c>
      <c r="I157" s="567">
        <f t="shared" si="3"/>
        <v>0</v>
      </c>
      <c r="J157" s="567"/>
      <c r="K157" s="982"/>
      <c r="L157" s="569">
        <f t="shared" si="4"/>
        <v>0</v>
      </c>
      <c r="M157" s="982"/>
      <c r="N157" s="569">
        <f t="shared" si="5"/>
        <v>0</v>
      </c>
      <c r="O157" s="569">
        <f t="shared" si="6"/>
        <v>0</v>
      </c>
      <c r="P157" s="524"/>
    </row>
    <row r="158" spans="1:16">
      <c r="A158" s="520"/>
      <c r="B158" s="521" t="str">
        <f t="shared" si="10"/>
        <v/>
      </c>
      <c r="C158" s="564" t="str">
        <f>IF(D100="","-",+C157+1)</f>
        <v>-</v>
      </c>
      <c r="D158" s="570">
        <f t="shared" si="7"/>
        <v>0</v>
      </c>
      <c r="E158" s="571">
        <f>IF(+I103&lt;F157,I103,D158)</f>
        <v>0</v>
      </c>
      <c r="F158" s="570">
        <f t="shared" si="2"/>
        <v>0</v>
      </c>
      <c r="G158" s="572">
        <f t="shared" si="8"/>
        <v>0</v>
      </c>
      <c r="H158" s="549">
        <f t="shared" si="9"/>
        <v>0</v>
      </c>
      <c r="I158" s="567">
        <f t="shared" si="3"/>
        <v>0</v>
      </c>
      <c r="J158" s="567"/>
      <c r="K158" s="982"/>
      <c r="L158" s="569">
        <f t="shared" si="4"/>
        <v>0</v>
      </c>
      <c r="M158" s="982"/>
      <c r="N158" s="569">
        <f t="shared" si="5"/>
        <v>0</v>
      </c>
      <c r="O158" s="569">
        <f t="shared" si="6"/>
        <v>0</v>
      </c>
      <c r="P158" s="524"/>
    </row>
    <row r="159" spans="1:16">
      <c r="A159" s="520"/>
      <c r="B159" s="521" t="str">
        <f t="shared" si="10"/>
        <v/>
      </c>
      <c r="C159" s="564" t="str">
        <f>IF(D100="","-",+C158+1)</f>
        <v>-</v>
      </c>
      <c r="D159" s="570">
        <f t="shared" si="7"/>
        <v>0</v>
      </c>
      <c r="E159" s="571">
        <f>IF(+I103&lt;F158,I103,D159)</f>
        <v>0</v>
      </c>
      <c r="F159" s="570">
        <f t="shared" si="2"/>
        <v>0</v>
      </c>
      <c r="G159" s="572">
        <f t="shared" si="8"/>
        <v>0</v>
      </c>
      <c r="H159" s="549">
        <f t="shared" si="9"/>
        <v>0</v>
      </c>
      <c r="I159" s="567">
        <f t="shared" si="3"/>
        <v>0</v>
      </c>
      <c r="J159" s="567"/>
      <c r="K159" s="982"/>
      <c r="L159" s="569">
        <f t="shared" si="4"/>
        <v>0</v>
      </c>
      <c r="M159" s="982"/>
      <c r="N159" s="569">
        <f t="shared" si="5"/>
        <v>0</v>
      </c>
      <c r="O159" s="569">
        <f t="shared" si="6"/>
        <v>0</v>
      </c>
      <c r="P159" s="524"/>
    </row>
    <row r="160" spans="1:16">
      <c r="A160" s="520"/>
      <c r="B160" s="521" t="str">
        <f t="shared" si="10"/>
        <v/>
      </c>
      <c r="C160" s="564" t="str">
        <f>IF(D100="","-",+C159+1)</f>
        <v>-</v>
      </c>
      <c r="D160" s="570">
        <f t="shared" si="7"/>
        <v>0</v>
      </c>
      <c r="E160" s="571">
        <f>IF(+I103&lt;F159,I103,D160)</f>
        <v>0</v>
      </c>
      <c r="F160" s="570">
        <f t="shared" si="2"/>
        <v>0</v>
      </c>
      <c r="G160" s="572">
        <f t="shared" si="8"/>
        <v>0</v>
      </c>
      <c r="H160" s="549">
        <f t="shared" si="9"/>
        <v>0</v>
      </c>
      <c r="I160" s="567">
        <f t="shared" si="3"/>
        <v>0</v>
      </c>
      <c r="J160" s="567"/>
      <c r="K160" s="982"/>
      <c r="L160" s="569">
        <f t="shared" si="4"/>
        <v>0</v>
      </c>
      <c r="M160" s="982"/>
      <c r="N160" s="569">
        <f t="shared" si="5"/>
        <v>0</v>
      </c>
      <c r="O160" s="569">
        <f t="shared" si="6"/>
        <v>0</v>
      </c>
      <c r="P160" s="524"/>
    </row>
    <row r="161" spans="1:16" ht="13.5" thickBot="1">
      <c r="A161" s="520"/>
      <c r="B161" s="521" t="str">
        <f t="shared" si="10"/>
        <v/>
      </c>
      <c r="C161" s="573" t="str">
        <f>IF(D100="","-",+C160+1)</f>
        <v>-</v>
      </c>
      <c r="D161" s="574">
        <f t="shared" si="7"/>
        <v>0</v>
      </c>
      <c r="E161" s="983">
        <f>IF(+I103&lt;F160,I103,D161)</f>
        <v>0</v>
      </c>
      <c r="F161" s="574">
        <f t="shared" si="2"/>
        <v>0</v>
      </c>
      <c r="G161" s="575">
        <f t="shared" si="8"/>
        <v>0</v>
      </c>
      <c r="H161" s="539">
        <f t="shared" si="9"/>
        <v>0</v>
      </c>
      <c r="I161" s="576">
        <f t="shared" si="3"/>
        <v>0</v>
      </c>
      <c r="J161" s="567"/>
      <c r="K161" s="984"/>
      <c r="L161" s="577">
        <f t="shared" si="4"/>
        <v>0</v>
      </c>
      <c r="M161" s="984"/>
      <c r="N161" s="577">
        <f t="shared" si="5"/>
        <v>0</v>
      </c>
      <c r="O161" s="577">
        <f t="shared" si="6"/>
        <v>0</v>
      </c>
      <c r="P161" s="524"/>
    </row>
    <row r="162" spans="1:16">
      <c r="A162" s="520"/>
      <c r="B162" s="520"/>
      <c r="C162" s="565" t="s">
        <v>529</v>
      </c>
      <c r="D162" s="526"/>
      <c r="E162" s="526">
        <f>SUM(E106:E161)</f>
        <v>0</v>
      </c>
      <c r="F162" s="526"/>
      <c r="G162" s="526">
        <f>SUM(G106:G161)</f>
        <v>0</v>
      </c>
      <c r="H162" s="526">
        <f>SUM(H106:H161)</f>
        <v>0</v>
      </c>
      <c r="I162" s="526">
        <f>SUM(I106:I161)</f>
        <v>0</v>
      </c>
      <c r="J162" s="526"/>
      <c r="K162" s="526"/>
      <c r="L162" s="526"/>
      <c r="M162" s="526"/>
      <c r="N162" s="526"/>
      <c r="O162" s="524"/>
      <c r="P162" s="524"/>
    </row>
    <row r="163" spans="1:16">
      <c r="A163" s="520"/>
      <c r="B163" s="520"/>
      <c r="C163" s="520"/>
      <c r="D163" s="521"/>
      <c r="E163" s="520"/>
      <c r="F163" s="520"/>
      <c r="G163" s="520"/>
      <c r="H163" s="589"/>
      <c r="I163" s="589"/>
      <c r="J163" s="526"/>
      <c r="K163" s="589"/>
      <c r="L163" s="589"/>
      <c r="M163" s="589"/>
      <c r="N163" s="589"/>
      <c r="O163" s="520"/>
      <c r="P163" s="520"/>
    </row>
    <row r="164" spans="1:16">
      <c r="A164" s="520"/>
      <c r="B164" s="520"/>
      <c r="C164" s="194" t="s">
        <v>1140</v>
      </c>
      <c r="D164" s="521"/>
      <c r="E164" s="520"/>
      <c r="F164" s="520"/>
      <c r="G164" s="520"/>
      <c r="H164" s="589"/>
      <c r="I164" s="589"/>
      <c r="J164" s="526"/>
      <c r="K164" s="589"/>
      <c r="L164" s="589"/>
      <c r="M164" s="589"/>
      <c r="N164" s="589"/>
      <c r="O164" s="520"/>
      <c r="P164" s="520"/>
    </row>
    <row r="165" spans="1:16">
      <c r="A165" s="520"/>
      <c r="B165" s="520"/>
      <c r="C165" s="194" t="s">
        <v>530</v>
      </c>
      <c r="D165" s="521"/>
      <c r="E165" s="520"/>
      <c r="F165" s="520"/>
      <c r="G165" s="520"/>
      <c r="H165" s="589"/>
      <c r="I165" s="589"/>
      <c r="J165" s="526"/>
      <c r="K165" s="589"/>
      <c r="L165" s="589"/>
      <c r="M165" s="589"/>
      <c r="N165" s="589"/>
      <c r="O165" s="524"/>
      <c r="P165" s="524"/>
    </row>
    <row r="166" spans="1:16">
      <c r="A166" s="520"/>
      <c r="B166" s="520"/>
      <c r="C166" s="194" t="s">
        <v>531</v>
      </c>
      <c r="D166" s="565"/>
      <c r="E166" s="565"/>
      <c r="F166" s="565"/>
      <c r="G166" s="526"/>
      <c r="H166" s="526"/>
      <c r="I166" s="578"/>
      <c r="J166" s="578"/>
      <c r="K166" s="578"/>
      <c r="L166" s="578"/>
      <c r="M166" s="578"/>
      <c r="N166" s="578"/>
      <c r="O166" s="524"/>
      <c r="P166" s="524"/>
    </row>
    <row r="167" spans="1:16">
      <c r="A167" s="520"/>
      <c r="B167" s="520"/>
      <c r="C167" s="194"/>
      <c r="D167" s="565"/>
      <c r="E167" s="565"/>
      <c r="F167" s="565"/>
      <c r="G167" s="526"/>
      <c r="H167" s="526"/>
      <c r="I167" s="578"/>
      <c r="J167" s="578"/>
      <c r="K167" s="578"/>
      <c r="L167" s="578"/>
      <c r="M167" s="578"/>
      <c r="N167" s="578"/>
      <c r="O167" s="524"/>
      <c r="P167" s="520"/>
    </row>
    <row r="168" spans="1:16">
      <c r="A168" s="520"/>
      <c r="B168" s="520"/>
      <c r="C168" s="40"/>
      <c r="D168" s="521"/>
      <c r="E168" s="520"/>
      <c r="F168" s="579"/>
      <c r="G168" s="520"/>
      <c r="H168" s="589"/>
      <c r="I168" s="520"/>
      <c r="J168" s="524"/>
      <c r="K168" s="520"/>
      <c r="L168" s="520"/>
      <c r="M168" s="520"/>
      <c r="N168" s="520"/>
      <c r="O168" s="520"/>
      <c r="P168" s="520"/>
    </row>
    <row r="169" spans="1:16" ht="18">
      <c r="A169" s="520"/>
      <c r="B169" s="520"/>
      <c r="C169" s="580"/>
      <c r="D169" s="521"/>
      <c r="E169" s="520"/>
      <c r="F169" s="579"/>
      <c r="G169" s="520"/>
      <c r="H169" s="589"/>
      <c r="I169" s="520"/>
      <c r="J169" s="524"/>
      <c r="K169" s="520"/>
      <c r="L169" s="520"/>
      <c r="M169" s="520"/>
      <c r="N169" s="520"/>
      <c r="O169" s="520"/>
      <c r="P169" s="581"/>
    </row>
    <row r="170" spans="1:16">
      <c r="P170" s="38"/>
    </row>
    <row r="171" spans="1:16">
      <c r="P171" s="38"/>
    </row>
    <row r="172" spans="1:16">
      <c r="P172" s="38"/>
    </row>
    <row r="173" spans="1:16">
      <c r="P173" s="38"/>
    </row>
  </sheetData>
  <mergeCells count="8">
    <mergeCell ref="J9:N9"/>
    <mergeCell ref="J11:N13"/>
    <mergeCell ref="A1:I1"/>
    <mergeCell ref="A2:I2"/>
    <mergeCell ref="A3:I3"/>
    <mergeCell ref="A4:I4"/>
    <mergeCell ref="C6:I6"/>
    <mergeCell ref="J6:N8"/>
  </mergeCells>
  <conditionalFormatting sqref="C106:C161">
    <cfRule type="cellIs" dxfId="1" priority="1" stopIfTrue="1" operator="equal">
      <formula>$I$8</formula>
    </cfRule>
  </conditionalFormatting>
  <printOptions horizontalCentered="1"/>
  <pageMargins left="0.25" right="0.25" top="0.75" bottom="0.25" header="0.25" footer="0.5"/>
  <pageSetup scale="41" fitToHeight="5" orientation="landscape" r:id="rId1"/>
  <headerFooter alignWithMargins="0">
    <oddHeader xml:space="preserve">&amp;R&amp;12AEP - SPP Formula Rate
TCOS - WS F
Page: &amp;P of &amp;N&amp;16
</oddHeader>
    <oddFooter xml:space="preserve">&amp;C &amp;R </oddFooter>
  </headerFooter>
  <rowBreaks count="1" manualBreakCount="1">
    <brk id="89" max="14" man="1"/>
  </rowBreaks>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68"/>
  <sheetViews>
    <sheetView view="pageBreakPreview" topLeftCell="D1" zoomScale="70" zoomScaleNormal="81" zoomScaleSheetLayoutView="70" workbookViewId="0">
      <selection activeCell="N17" sqref="N17:P19"/>
    </sheetView>
  </sheetViews>
  <sheetFormatPr defaultColWidth="8.85546875" defaultRowHeight="12.75"/>
  <cols>
    <col min="1" max="1" width="9.28515625" style="38" customWidth="1"/>
    <col min="2" max="2" width="6.7109375" style="38" customWidth="1"/>
    <col min="3" max="3" width="26.5703125" style="38" customWidth="1"/>
    <col min="4" max="4" width="17.7109375" style="198" customWidth="1"/>
    <col min="5" max="5" width="21.7109375" style="38" customWidth="1"/>
    <col min="6" max="8" width="17.7109375" style="38" customWidth="1"/>
    <col min="9" max="9" width="19.5703125" style="1101" customWidth="1"/>
    <col min="10" max="10" width="20.28515625" style="1101" customWidth="1"/>
    <col min="11" max="11" width="13.5703125" style="1101" customWidth="1"/>
    <col min="12" max="13" width="17.7109375" style="38" customWidth="1"/>
    <col min="14" max="14" width="19.28515625" style="38" customWidth="1"/>
    <col min="15" max="15" width="18.42578125" style="38" customWidth="1"/>
    <col min="16" max="16" width="19.5703125" style="38" customWidth="1"/>
    <col min="17" max="17" width="2.140625" style="40" customWidth="1"/>
    <col min="18" max="18" width="16.42578125" style="40" customWidth="1"/>
    <col min="19" max="19" width="57.85546875" style="38" bestFit="1" customWidth="1"/>
    <col min="20" max="20" width="17.140625" style="38" customWidth="1"/>
    <col min="21" max="16384" width="8.85546875" style="38"/>
  </cols>
  <sheetData>
    <row r="1" spans="1:21" ht="18">
      <c r="A1" s="1562" t="str">
        <f>'SWEPCO TCOS'!F3</f>
        <v xml:space="preserve">AEP West SPP Member Operating Companies </v>
      </c>
      <c r="B1" s="1562"/>
      <c r="C1" s="1562"/>
      <c r="D1" s="1562"/>
      <c r="E1" s="1562"/>
      <c r="F1" s="1562"/>
      <c r="G1" s="1562"/>
      <c r="H1" s="1562"/>
      <c r="I1" s="1562"/>
      <c r="J1" s="507"/>
      <c r="K1" s="507"/>
    </row>
    <row r="2" spans="1:21" ht="18">
      <c r="A2" s="1570" t="str">
        <f>+'SWEPCO WS A RB Support '!A2:G2</f>
        <v xml:space="preserve">Actual / Projected 2019 Rate Year Cost of Service Formula Rate </v>
      </c>
      <c r="B2" s="1562"/>
      <c r="C2" s="1562"/>
      <c r="D2" s="1562"/>
      <c r="E2" s="1562"/>
      <c r="F2" s="1562"/>
      <c r="G2" s="1562"/>
      <c r="H2" s="1562"/>
      <c r="I2" s="1562"/>
      <c r="J2" s="898"/>
      <c r="K2" s="898"/>
    </row>
    <row r="3" spans="1:21" ht="18">
      <c r="A3" s="1562" t="s">
        <v>1142</v>
      </c>
      <c r="B3" s="1562"/>
      <c r="C3" s="1562"/>
      <c r="D3" s="1562"/>
      <c r="E3" s="1562"/>
      <c r="F3" s="1562"/>
      <c r="G3" s="1562"/>
      <c r="H3" s="1562"/>
      <c r="I3" s="1562"/>
      <c r="J3" s="898"/>
      <c r="K3" s="898"/>
    </row>
    <row r="4" spans="1:21" ht="18">
      <c r="A4" s="1563" t="str">
        <f>+'SWEPCO TCOS'!F7</f>
        <v>SOUTHWESTERN ELECTRIC POWER COMPANY</v>
      </c>
      <c r="B4" s="1563"/>
      <c r="C4" s="1563"/>
      <c r="D4" s="1563"/>
      <c r="E4" s="1563"/>
      <c r="F4" s="1563"/>
      <c r="G4" s="1563"/>
      <c r="H4" s="1563"/>
      <c r="I4" s="1563"/>
      <c r="J4" s="385"/>
      <c r="K4" s="385"/>
    </row>
    <row r="6" spans="1:21" ht="35.25" customHeight="1">
      <c r="A6" s="950" t="s">
        <v>345</v>
      </c>
      <c r="B6" s="136" t="s">
        <v>347</v>
      </c>
      <c r="C6" s="1587" t="str">
        <f>"Calculate Return and Income Taxes with "&amp;F11&amp;" basis point ROE increase for Projects Qualified for Incentive."</f>
        <v>Calculate Return and Income Taxes with 0 basis point ROE increase for Projects Qualified for Incentive.</v>
      </c>
      <c r="D6" s="1560"/>
      <c r="E6" s="1560"/>
      <c r="F6" s="1560"/>
      <c r="G6" s="1560"/>
      <c r="H6" s="1560"/>
      <c r="I6" s="1560"/>
      <c r="J6" s="344"/>
      <c r="K6" s="344"/>
      <c r="L6" s="1565" t="s">
        <v>483</v>
      </c>
      <c r="M6" s="1565"/>
      <c r="N6" s="1565"/>
      <c r="O6" s="1565"/>
      <c r="P6" s="1565"/>
      <c r="R6" s="363" t="s">
        <v>552</v>
      </c>
    </row>
    <row r="7" spans="1:21" ht="15.75" customHeight="1">
      <c r="A7" s="950" t="s">
        <v>283</v>
      </c>
      <c r="C7" s="344"/>
      <c r="D7" s="344"/>
      <c r="E7" s="344"/>
      <c r="F7" s="344"/>
      <c r="G7" s="344"/>
      <c r="H7" s="344"/>
      <c r="I7" s="344"/>
      <c r="J7" s="344"/>
      <c r="K7" s="344"/>
      <c r="L7" s="1565"/>
      <c r="M7" s="1565"/>
      <c r="N7" s="1565"/>
      <c r="O7" s="1565"/>
      <c r="P7" s="1565"/>
    </row>
    <row r="8" spans="1:21" ht="15.75">
      <c r="C8" s="206" t="str">
        <f>"A.   Determine 'R' with hypothetical "&amp;F11&amp;" basis point increase in ROE for Identified Projects"</f>
        <v>A.   Determine 'R' with hypothetical 0 basis point increase in ROE for Identified Projects</v>
      </c>
      <c r="L8" s="1565"/>
      <c r="M8" s="1565"/>
      <c r="N8" s="1565"/>
      <c r="O8" s="1565"/>
      <c r="P8" s="1565"/>
      <c r="R8" s="38"/>
      <c r="S8" s="38" t="s">
        <v>195</v>
      </c>
    </row>
    <row r="9" spans="1:21" ht="18" customHeight="1">
      <c r="L9" s="1565"/>
      <c r="M9" s="1565"/>
      <c r="N9" s="1565"/>
      <c r="O9" s="1565"/>
      <c r="P9" s="1565"/>
      <c r="R9" s="445" t="s">
        <v>189</v>
      </c>
      <c r="S9" s="363" t="s">
        <v>377</v>
      </c>
    </row>
    <row r="10" spans="1:21" ht="13.5" thickBot="1">
      <c r="A10" s="198">
        <v>1</v>
      </c>
      <c r="C10" s="149" t="str">
        <f>"   ROE w/o incentives  (TCOS, ln "&amp;'SWEPCO TCOS'!B233&amp;")"</f>
        <v xml:space="preserve">   ROE w/o incentives  (TCOS, ln 141)</v>
      </c>
      <c r="E10" s="216"/>
      <c r="F10" s="307">
        <f>+'SWEPCO TCOS'!J233</f>
        <v>0.112</v>
      </c>
      <c r="G10" s="307"/>
      <c r="H10" s="309"/>
      <c r="I10" s="1140"/>
      <c r="J10" s="1140"/>
      <c r="K10" s="1140"/>
      <c r="L10" s="344"/>
      <c r="M10" s="344"/>
      <c r="N10" s="344"/>
      <c r="O10" s="344"/>
      <c r="P10" s="344"/>
      <c r="Q10" s="158"/>
      <c r="R10" s="363" t="s">
        <v>486</v>
      </c>
      <c r="T10" s="138"/>
    </row>
    <row r="11" spans="1:21" ht="14.25">
      <c r="A11" s="198">
        <f>+A10+1</f>
        <v>2</v>
      </c>
      <c r="C11" s="149" t="s">
        <v>174</v>
      </c>
      <c r="E11" s="216"/>
      <c r="F11" s="1141">
        <v>0</v>
      </c>
      <c r="G11" s="1142" t="s">
        <v>376</v>
      </c>
      <c r="I11" s="38"/>
      <c r="J11" s="38"/>
      <c r="K11" s="38"/>
      <c r="L11" s="310"/>
      <c r="M11" s="310"/>
      <c r="N11" s="310"/>
      <c r="O11" s="310"/>
      <c r="P11" s="310"/>
      <c r="Q11" s="158"/>
      <c r="R11" s="306" t="s">
        <v>550</v>
      </c>
      <c r="S11" s="446" t="s">
        <v>107</v>
      </c>
      <c r="T11"/>
    </row>
    <row r="12" spans="1:21" ht="13.5" thickBot="1">
      <c r="A12" s="198">
        <f>+A11+1</f>
        <v>3</v>
      </c>
      <c r="C12" s="149" t="str">
        <f>"   ROE with additional "&amp;F11&amp;" basis point incentive"</f>
        <v xml:space="preserve">   ROE with additional 0 basis point incentive</v>
      </c>
      <c r="D12" s="216"/>
      <c r="E12" s="216"/>
      <c r="F12" s="139">
        <f>IF((F10+(F11/10000)&gt;0.1245),"ERROR",F10+(F11/10000))</f>
        <v>0.112</v>
      </c>
      <c r="G12" s="218" t="s">
        <v>1141</v>
      </c>
      <c r="I12" s="310"/>
      <c r="J12" s="310"/>
      <c r="K12" s="310"/>
      <c r="Q12" s="158"/>
      <c r="R12" s="1362">
        <f>M16</f>
        <v>2017</v>
      </c>
      <c r="S12" s="436" t="s">
        <v>149</v>
      </c>
      <c r="T12"/>
      <c r="U12" s="40"/>
    </row>
    <row r="13" spans="1:21">
      <c r="A13" s="198">
        <f t="shared" ref="A13:A45" si="0">+A12+1</f>
        <v>4</v>
      </c>
      <c r="C13" s="955" t="str">
        <f>"   Determine R  (cost of long term debt, cost of preferred stock and percent is from TCOS, lns "&amp;'SWEPCO TCOS'!B231&amp;" through "&amp;'SWEPCO TCOS'!B233&amp;")"</f>
        <v xml:space="preserve">   Determine R  (cost of long term debt, cost of preferred stock and percent is from TCOS, lns 139 through 141)</v>
      </c>
      <c r="E13" s="216"/>
      <c r="F13" s="139"/>
      <c r="G13" s="139"/>
      <c r="H13" s="216"/>
      <c r="I13" s="310"/>
      <c r="J13" s="310"/>
      <c r="K13" s="310"/>
      <c r="L13" s="1588" t="s">
        <v>434</v>
      </c>
      <c r="M13" s="1589"/>
      <c r="N13" s="1589"/>
      <c r="O13" s="1589"/>
      <c r="P13" s="1590"/>
      <c r="Q13" s="158"/>
      <c r="R13" s="1157">
        <f>+F10</f>
        <v>0.112</v>
      </c>
      <c r="S13" s="436" t="str">
        <f>+C10</f>
        <v xml:space="preserve">   ROE w/o incentives  (TCOS, ln 141)</v>
      </c>
      <c r="T13"/>
      <c r="U13" s="40"/>
    </row>
    <row r="14" spans="1:21" ht="16.5" customHeight="1">
      <c r="A14" s="198">
        <f t="shared" si="0"/>
        <v>5</v>
      </c>
      <c r="C14" s="158"/>
      <c r="D14" s="308" t="s">
        <v>322</v>
      </c>
      <c r="E14" s="308" t="s">
        <v>321</v>
      </c>
      <c r="F14" s="141" t="s">
        <v>419</v>
      </c>
      <c r="G14" s="141"/>
      <c r="H14" s="216"/>
      <c r="I14" s="310"/>
      <c r="J14" s="310"/>
      <c r="K14" s="310"/>
      <c r="L14" s="1591"/>
      <c r="M14" s="1592"/>
      <c r="N14" s="1592"/>
      <c r="O14" s="1592"/>
      <c r="P14" s="1593"/>
      <c r="Q14" s="158"/>
      <c r="R14" s="1143">
        <f>+F11</f>
        <v>0</v>
      </c>
      <c r="S14" s="436" t="str">
        <f>+C11</f>
        <v xml:space="preserve">   Project ROE Incentive Adder (Enter as whole number)</v>
      </c>
      <c r="T14"/>
      <c r="U14" s="40"/>
    </row>
    <row r="15" spans="1:21">
      <c r="A15" s="198">
        <f t="shared" si="0"/>
        <v>6</v>
      </c>
      <c r="C15" s="142" t="s">
        <v>422</v>
      </c>
      <c r="D15" s="364">
        <f>IF(+'SWEPCO TCOS'!H231=0,'SWEPCO TCOS'!G231,'SWEPCO TCOS'!H231)</f>
        <v>0.53322994680523572</v>
      </c>
      <c r="E15" s="1145">
        <f>+'SWEPCO TCOS'!J231</f>
        <v>4.5858083034810274E-2</v>
      </c>
      <c r="F15" s="1146">
        <f>E15*D15</f>
        <v>2.4452903177241966E-2</v>
      </c>
      <c r="G15" s="255"/>
      <c r="H15" s="216"/>
      <c r="I15" s="310"/>
      <c r="J15" s="310"/>
      <c r="K15" s="310"/>
      <c r="L15" s="434"/>
      <c r="M15" s="158"/>
      <c r="N15" s="158" t="s">
        <v>420</v>
      </c>
      <c r="O15" s="158" t="s">
        <v>485</v>
      </c>
      <c r="P15" s="435" t="s">
        <v>421</v>
      </c>
      <c r="Q15" s="437"/>
      <c r="R15" s="1157">
        <f>+D15</f>
        <v>0.53322994680523572</v>
      </c>
      <c r="S15" s="447" t="str">
        <f>+C15&amp;" "&amp;D14</f>
        <v>Long Term Debt %</v>
      </c>
      <c r="T15"/>
      <c r="U15" s="40"/>
    </row>
    <row r="16" spans="1:21">
      <c r="A16" s="198">
        <f t="shared" si="0"/>
        <v>7</v>
      </c>
      <c r="C16" s="142" t="s">
        <v>423</v>
      </c>
      <c r="D16" s="364">
        <f>IF(+'SWEPCO TCOS'!H232=0,'SWEPCO TCOS'!G232,'SWEPCO TCOS'!H232)</f>
        <v>0</v>
      </c>
      <c r="E16" s="1145">
        <f>+'SWEPCO TCOS'!J232</f>
        <v>0</v>
      </c>
      <c r="F16" s="1146">
        <f>E16*D16</f>
        <v>0</v>
      </c>
      <c r="G16" s="255"/>
      <c r="H16" s="144"/>
      <c r="I16" s="144"/>
      <c r="J16" s="144"/>
      <c r="K16" s="144"/>
      <c r="L16" s="434" t="s">
        <v>478</v>
      </c>
      <c r="M16" s="502">
        <v>2017</v>
      </c>
      <c r="N16" s="40"/>
      <c r="O16" s="40"/>
      <c r="P16" s="436"/>
      <c r="Q16" s="151"/>
      <c r="R16" s="1158">
        <f>+E15</f>
        <v>4.5858083034810274E-2</v>
      </c>
      <c r="S16" s="447" t="str">
        <f>C15&amp;" "&amp;E14</f>
        <v>Long Term Debt Cost</v>
      </c>
      <c r="T16"/>
      <c r="U16" s="40"/>
    </row>
    <row r="17" spans="1:21">
      <c r="A17" s="198">
        <f t="shared" si="0"/>
        <v>8</v>
      </c>
      <c r="C17" s="142" t="s">
        <v>415</v>
      </c>
      <c r="D17" s="364">
        <f>IF(+'SWEPCO TCOS'!H233=0,'SWEPCO TCOS'!G233,'SWEPCO TCOS'!H233)</f>
        <v>0.46677005319476422</v>
      </c>
      <c r="E17" s="1145">
        <f>+F12</f>
        <v>0.112</v>
      </c>
      <c r="F17" s="1147">
        <f>E17*D17</f>
        <v>5.2278245957813593E-2</v>
      </c>
      <c r="G17" s="256"/>
      <c r="H17" s="144"/>
      <c r="I17" s="144"/>
      <c r="J17" s="144"/>
      <c r="K17" s="144"/>
      <c r="L17" s="985" t="s">
        <v>479</v>
      </c>
      <c r="M17" s="986"/>
      <c r="N17" s="362">
        <f>+R47</f>
        <v>86612871.407630518</v>
      </c>
      <c r="O17" s="362">
        <f>+R48</f>
        <v>86612871.407630518</v>
      </c>
      <c r="P17" s="439">
        <f>+O17-N17</f>
        <v>0</v>
      </c>
      <c r="Q17" s="151"/>
      <c r="R17" s="1157">
        <f>+D16</f>
        <v>0</v>
      </c>
      <c r="S17" s="447" t="str">
        <f>C16&amp;" "&amp;D14</f>
        <v>Preferred Stock %</v>
      </c>
      <c r="T17"/>
      <c r="U17" s="40"/>
    </row>
    <row r="18" spans="1:21">
      <c r="A18" s="198">
        <f t="shared" si="0"/>
        <v>9</v>
      </c>
      <c r="C18" s="149"/>
      <c r="D18" s="216"/>
      <c r="E18" s="260" t="s">
        <v>424</v>
      </c>
      <c r="F18" s="1146">
        <f>SUM(F15:F17)</f>
        <v>7.6731149135055562E-2</v>
      </c>
      <c r="G18" s="255"/>
      <c r="H18" s="441"/>
      <c r="I18" s="144"/>
      <c r="J18" s="144"/>
      <c r="K18" s="144"/>
      <c r="L18" s="987" t="s">
        <v>484</v>
      </c>
      <c r="M18" s="988"/>
      <c r="N18" s="362">
        <f>+R49</f>
        <v>86327441.697800845</v>
      </c>
      <c r="O18" s="362">
        <f>+R50</f>
        <v>86327441.697800845</v>
      </c>
      <c r="P18" s="439">
        <f>+O18-N18</f>
        <v>0</v>
      </c>
      <c r="Q18" s="151"/>
      <c r="R18" s="1158">
        <f>+E16</f>
        <v>0</v>
      </c>
      <c r="S18" s="447" t="str">
        <f>C16&amp;" "&amp;E14</f>
        <v>Preferred Stock Cost</v>
      </c>
      <c r="T18"/>
      <c r="U18" s="40"/>
    </row>
    <row r="19" spans="1:21" ht="13.5" thickBot="1">
      <c r="A19" s="198"/>
      <c r="D19" s="143"/>
      <c r="E19" s="143"/>
      <c r="F19" s="144"/>
      <c r="G19" s="144"/>
      <c r="H19" s="144"/>
      <c r="I19" s="144"/>
      <c r="J19" s="144"/>
      <c r="K19" s="144"/>
      <c r="L19" s="989" t="str">
        <f>"True-up Adjustment For "&amp;M16&amp;""</f>
        <v>True-up Adjustment For 2017</v>
      </c>
      <c r="M19" s="990"/>
      <c r="N19" s="509">
        <f>+N18-N17</f>
        <v>-285429.70982967317</v>
      </c>
      <c r="O19" s="509">
        <f>+O18-O17</f>
        <v>-285429.70982967317</v>
      </c>
      <c r="P19" s="510">
        <f>+P18-P17</f>
        <v>0</v>
      </c>
      <c r="Q19" s="148"/>
      <c r="R19" s="1157">
        <f>+D17</f>
        <v>0.46677005319476422</v>
      </c>
      <c r="S19" s="448" t="str">
        <f>C17&amp;" "&amp;D14</f>
        <v>Common Stock %</v>
      </c>
      <c r="T19"/>
      <c r="U19" s="40"/>
    </row>
    <row r="20" spans="1:21" ht="15.75">
      <c r="A20" s="198"/>
      <c r="C20" s="206" t="str">
        <f>"B.   Determine Return using 'R' with hypothetical "&amp;F11&amp;" basis point ROE increase for Identified Projects."</f>
        <v>B.   Determine Return using 'R' with hypothetical 0 basis point ROE increase for Identified Projects.</v>
      </c>
      <c r="D20" s="143"/>
      <c r="E20" s="143"/>
      <c r="F20" s="144"/>
      <c r="G20" s="144"/>
      <c r="H20" s="144"/>
      <c r="I20" s="216"/>
      <c r="J20" s="216"/>
      <c r="K20" s="216"/>
      <c r="L20" s="437"/>
      <c r="M20" s="155"/>
      <c r="N20" s="503"/>
      <c r="O20" s="503"/>
      <c r="P20" s="362"/>
      <c r="Q20" s="148"/>
      <c r="R20" s="1150">
        <f>+E22</f>
        <v>1050959618.4625351</v>
      </c>
      <c r="S20" s="449" t="str">
        <f>C22</f>
        <v xml:space="preserve">   Rate Base  (TCOS, ln 62)</v>
      </c>
      <c r="T20"/>
      <c r="U20" s="40"/>
    </row>
    <row r="21" spans="1:21">
      <c r="A21" s="198"/>
      <c r="C21" s="158"/>
      <c r="D21" s="143"/>
      <c r="E21" s="143"/>
      <c r="F21" s="148"/>
      <c r="G21" s="148"/>
      <c r="H21" s="148"/>
      <c r="I21" s="148"/>
      <c r="J21" s="148"/>
      <c r="K21" s="148"/>
      <c r="L21" s="144"/>
      <c r="M21" s="144"/>
      <c r="N21" s="144"/>
      <c r="O21" s="144"/>
      <c r="P21" s="144"/>
      <c r="Q21" s="148"/>
      <c r="R21" s="1149">
        <f>+F29</f>
        <v>0.24720900000000001</v>
      </c>
      <c r="S21" s="436" t="str">
        <f>+C29</f>
        <v xml:space="preserve">   Tax Rate  (TCOS, ln 97)</v>
      </c>
      <c r="T21"/>
      <c r="U21" s="40"/>
    </row>
    <row r="22" spans="1:21">
      <c r="A22" s="198">
        <f>+A18+1</f>
        <v>10</v>
      </c>
      <c r="C22" s="149" t="str">
        <f>"   Rate Base  (TCOS, ln "&amp;'SWEPCO TCOS'!B110&amp;")"</f>
        <v xml:space="preserve">   Rate Base  (TCOS, ln 62)</v>
      </c>
      <c r="D22" s="216"/>
      <c r="E22" s="261">
        <f>+'SWEPCO TCOS'!L110</f>
        <v>1050959618.4625351</v>
      </c>
      <c r="F22" s="145"/>
      <c r="G22" s="145"/>
      <c r="H22" s="148"/>
      <c r="I22" s="148"/>
      <c r="J22" s="148"/>
      <c r="K22" s="148"/>
      <c r="L22" s="194"/>
      <c r="M22" s="148"/>
      <c r="N22" s="148"/>
      <c r="O22" s="148"/>
      <c r="P22" s="148"/>
      <c r="Q22" s="148"/>
      <c r="R22" s="1150">
        <f>+F32</f>
        <v>-264179.59904281434</v>
      </c>
      <c r="S22" s="436" t="str">
        <f>+C32</f>
        <v xml:space="preserve">   ITC Adjustment  (TCOS, ln 106)</v>
      </c>
      <c r="T22"/>
      <c r="U22" s="40"/>
    </row>
    <row r="23" spans="1:21">
      <c r="A23" s="198">
        <f t="shared" si="0"/>
        <v>11</v>
      </c>
      <c r="C23" s="158" t="s">
        <v>383</v>
      </c>
      <c r="D23" s="309"/>
      <c r="E23" s="262">
        <f>F18</f>
        <v>7.6731149135055562E-2</v>
      </c>
      <c r="F23" s="148"/>
      <c r="G23" s="148"/>
      <c r="H23" s="148"/>
      <c r="I23" s="148"/>
      <c r="J23" s="148"/>
      <c r="K23" s="148"/>
      <c r="M23" s="148"/>
      <c r="N23" s="148"/>
      <c r="O23" s="148"/>
      <c r="P23" s="145"/>
      <c r="Q23" s="148"/>
      <c r="R23" s="1150">
        <f>+F33</f>
        <v>-6875438.2026352603</v>
      </c>
      <c r="S23" s="436" t="str">
        <f>+C33</f>
        <v xml:space="preserve">   Excess DFIT Adjustment  (TCOS, ln 107)</v>
      </c>
      <c r="T23"/>
      <c r="U23" s="40"/>
    </row>
    <row r="24" spans="1:21">
      <c r="A24" s="198">
        <f t="shared" si="0"/>
        <v>12</v>
      </c>
      <c r="C24" s="146" t="s">
        <v>425</v>
      </c>
      <c r="D24" s="146"/>
      <c r="E24" s="263">
        <f>E22*E23</f>
        <v>80641339.21916987</v>
      </c>
      <c r="F24" s="148"/>
      <c r="G24" s="148"/>
      <c r="H24" s="148"/>
      <c r="I24" s="148"/>
      <c r="J24" s="148"/>
      <c r="K24" s="148"/>
      <c r="L24" s="151"/>
      <c r="M24" s="151"/>
      <c r="N24" s="151"/>
      <c r="O24" s="151"/>
      <c r="P24" s="148"/>
      <c r="Q24" s="151"/>
      <c r="R24" s="1150">
        <f>+F34</f>
        <v>324711.63975127228</v>
      </c>
      <c r="S24" s="436" t="str">
        <f>+C34</f>
        <v xml:space="preserve">   Tax Effect of Permanent and Flow Through Differences (TCOS, ln 108)</v>
      </c>
      <c r="T24"/>
      <c r="U24" s="40"/>
    </row>
    <row r="25" spans="1:21">
      <c r="A25" s="198"/>
      <c r="C25" s="146"/>
      <c r="D25" s="310"/>
      <c r="E25" s="310"/>
      <c r="F25" s="148"/>
      <c r="G25" s="148"/>
      <c r="H25" s="148"/>
      <c r="I25" s="148"/>
      <c r="J25" s="148"/>
      <c r="K25" s="148"/>
      <c r="Q25" s="151"/>
      <c r="R25" s="1150">
        <f>+F41</f>
        <v>179086935.07937288</v>
      </c>
      <c r="S25" s="436" t="str">
        <f>+C41</f>
        <v xml:space="preserve">   Net Revenue Requirement  (TCOS, ln 115)</v>
      </c>
      <c r="T25"/>
      <c r="U25" s="40"/>
    </row>
    <row r="26" spans="1:21" ht="15.75">
      <c r="A26" s="198"/>
      <c r="C26" s="206" t="str">
        <f>"C.   Determine Income Taxes using Return with hypothetical "&amp;F11&amp;" basis point ROE increase for Identified Projects."</f>
        <v>C.   Determine Income Taxes using Return with hypothetical 0 basis point ROE increase for Identified Projects.</v>
      </c>
      <c r="D26" s="311"/>
      <c r="E26" s="311"/>
      <c r="F26" s="442"/>
      <c r="G26" s="442"/>
      <c r="H26" s="442"/>
      <c r="I26" s="442"/>
      <c r="J26" s="442"/>
      <c r="K26" s="442"/>
      <c r="Q26" s="443"/>
      <c r="R26" s="1150">
        <f>+F42</f>
        <v>80641339.21916987</v>
      </c>
      <c r="S26" s="436" t="str">
        <f>+C42</f>
        <v xml:space="preserve">   Return  (TCOS, ln 110)</v>
      </c>
      <c r="T26"/>
      <c r="U26" s="40"/>
    </row>
    <row r="27" spans="1:21" ht="14.25" customHeight="1">
      <c r="A27" s="198"/>
      <c r="C27" s="149"/>
      <c r="D27" s="310"/>
      <c r="E27" s="310"/>
      <c r="F27" s="148"/>
      <c r="G27" s="148"/>
      <c r="H27" s="148"/>
      <c r="I27" s="148"/>
      <c r="J27" s="148"/>
      <c r="K27" s="148"/>
      <c r="L27" s="520"/>
      <c r="M27" s="520"/>
      <c r="N27" s="520"/>
      <c r="O27" s="520"/>
      <c r="P27" s="520"/>
      <c r="Q27" s="151"/>
      <c r="R27" s="1150">
        <f>+F43</f>
        <v>11227601.421406977</v>
      </c>
      <c r="S27" s="436" t="str">
        <f>+C43</f>
        <v xml:space="preserve">   Income Taxes  (TCOS, ln 109)</v>
      </c>
      <c r="T27"/>
      <c r="U27" s="138"/>
    </row>
    <row r="28" spans="1:21" ht="19.5" customHeight="1">
      <c r="A28" s="198">
        <f>+A24+1</f>
        <v>13</v>
      </c>
      <c r="C28" s="158" t="s">
        <v>426</v>
      </c>
      <c r="D28" s="260"/>
      <c r="F28" s="969">
        <f>E24</f>
        <v>80641339.21916987</v>
      </c>
      <c r="G28" s="148"/>
      <c r="H28" s="148"/>
      <c r="I28" s="148"/>
      <c r="J28" s="148"/>
      <c r="K28" s="148"/>
      <c r="L28" s="964" t="s">
        <v>150</v>
      </c>
      <c r="M28" s="965" t="s">
        <v>492</v>
      </c>
      <c r="N28" s="966"/>
      <c r="O28" s="966"/>
      <c r="P28" s="583"/>
      <c r="Q28" s="148"/>
      <c r="R28" s="1150">
        <f>+F44</f>
        <v>155463.00046849539</v>
      </c>
      <c r="S28" s="436" t="str">
        <f>+C44</f>
        <v xml:space="preserve">  Gross Margin Taxes  (TCOS, ln 114)</v>
      </c>
      <c r="T28"/>
      <c r="U28" s="40"/>
    </row>
    <row r="29" spans="1:21" ht="18">
      <c r="A29" s="198">
        <f t="shared" si="0"/>
        <v>14</v>
      </c>
      <c r="C29" s="149" t="str">
        <f>"   Tax Rate  (TCOS, ln "&amp;'SWEPCO TCOS'!B164&amp;")"</f>
        <v xml:space="preserve">   Tax Rate  (TCOS, ln 97)</v>
      </c>
      <c r="D29" s="260"/>
      <c r="F29" s="164">
        <f>+'SWEPCO TCOS'!G164</f>
        <v>0.24720900000000001</v>
      </c>
      <c r="G29" s="148"/>
      <c r="H29" s="148"/>
      <c r="I29" s="148"/>
      <c r="J29" s="148"/>
      <c r="K29" s="148"/>
      <c r="L29" s="151"/>
      <c r="M29" s="967" t="s">
        <v>480</v>
      </c>
      <c r="N29" s="968"/>
      <c r="O29" s="968"/>
      <c r="P29" s="583"/>
      <c r="Q29" s="148"/>
      <c r="R29" s="1150">
        <f>+F54</f>
        <v>43063768.233464815</v>
      </c>
      <c r="S29" s="436" t="str">
        <f>+C54</f>
        <v xml:space="preserve">   Less: Depreciation  (TCOS, ln 84)</v>
      </c>
      <c r="T29"/>
      <c r="U29" s="40"/>
    </row>
    <row r="30" spans="1:21">
      <c r="A30" s="198">
        <f t="shared" si="0"/>
        <v>15</v>
      </c>
      <c r="C30" s="158" t="s">
        <v>232</v>
      </c>
      <c r="F30" s="139">
        <f>IF(F15&gt;0,($F29/(1-$F29))*(1-$F15/$F18),0)</f>
        <v>0.22373769778670485</v>
      </c>
      <c r="L30" s="520"/>
      <c r="M30" s="520"/>
      <c r="N30" s="520"/>
      <c r="O30" s="520"/>
      <c r="P30" s="520"/>
      <c r="R30" s="1149">
        <f>+F60</f>
        <v>0.39458224543080939</v>
      </c>
      <c r="S30" s="436" t="str">
        <f>+C60</f>
        <v xml:space="preserve">       Apportionment Factor to Texas (Worksheet K, ln 12)</v>
      </c>
      <c r="T30"/>
      <c r="U30" s="40"/>
    </row>
    <row r="31" spans="1:21">
      <c r="A31" s="198">
        <f t="shared" si="0"/>
        <v>16</v>
      </c>
      <c r="C31" s="146" t="s">
        <v>233</v>
      </c>
      <c r="F31" s="207">
        <f>F28*F30</f>
        <v>18042507.583333779</v>
      </c>
      <c r="L31" s="520"/>
      <c r="M31" s="520"/>
      <c r="N31" s="520"/>
      <c r="O31" s="520"/>
      <c r="P31" s="520"/>
      <c r="R31" s="1150">
        <f>+F70</f>
        <v>1321926041.0705667</v>
      </c>
      <c r="S31" s="436" t="str">
        <f>+C70</f>
        <v xml:space="preserve">   Net Transmission Plant  (TCOS, ln 37)</v>
      </c>
      <c r="T31"/>
      <c r="U31" s="147"/>
    </row>
    <row r="32" spans="1:21" ht="15">
      <c r="A32" s="198">
        <f t="shared" si="0"/>
        <v>17</v>
      </c>
      <c r="C32" s="149" t="str">
        <f>"   ITC Adjustment  (TCOS, ln "&amp;'SWEPCO TCOS'!B174&amp;")"</f>
        <v xml:space="preserve">   ITC Adjustment  (TCOS, ln 106)</v>
      </c>
      <c r="D32" s="21"/>
      <c r="F32" s="148">
        <f>+'SWEPCO TCOS'!L174</f>
        <v>-264179.59904281434</v>
      </c>
      <c r="G32" s="21"/>
      <c r="H32" s="21"/>
      <c r="I32" s="21"/>
      <c r="J32" s="21"/>
      <c r="K32" s="21"/>
      <c r="L32" s="520"/>
      <c r="M32" s="520"/>
      <c r="N32" s="520"/>
      <c r="O32" s="520"/>
      <c r="P32" s="520"/>
      <c r="Q32" s="21"/>
      <c r="R32" s="1149">
        <f>+F76</f>
        <v>0.10289771335145892</v>
      </c>
      <c r="S32" s="450" t="str">
        <f>+C76</f>
        <v xml:space="preserve">   FCR less Depreciation  (TCOS, ln 10)</v>
      </c>
      <c r="T32"/>
      <c r="U32" s="138"/>
    </row>
    <row r="33" spans="1:21" ht="15">
      <c r="A33" s="198">
        <f t="shared" si="0"/>
        <v>18</v>
      </c>
      <c r="C33" s="149" t="str">
        <f>"   Excess DFIT Adjustment  (TCOS, ln "&amp;'SWEPCO TCOS'!B175&amp;")"</f>
        <v xml:space="preserve">   Excess DFIT Adjustment  (TCOS, ln 107)</v>
      </c>
      <c r="D33" s="21"/>
      <c r="F33" s="148">
        <f>+'SWEPCO TCOS'!L175</f>
        <v>-6875438.2026352603</v>
      </c>
      <c r="G33" s="21"/>
      <c r="H33" s="21"/>
      <c r="I33" s="21"/>
      <c r="J33" s="21"/>
      <c r="K33" s="21"/>
      <c r="L33" s="520"/>
      <c r="M33" s="520"/>
      <c r="N33" s="520"/>
      <c r="O33" s="520"/>
      <c r="P33" s="520"/>
      <c r="Q33" s="21"/>
      <c r="R33" s="1151">
        <f>+F80</f>
        <v>1845274304.95191</v>
      </c>
      <c r="S33" s="447" t="str">
        <f>+C80</f>
        <v>Transmission Plant @ Beginning of Period (Worksheet A ln 9 col. ((D))</v>
      </c>
      <c r="T33"/>
      <c r="U33" s="138"/>
    </row>
    <row r="34" spans="1:21" ht="15">
      <c r="A34" s="198">
        <f t="shared" si="0"/>
        <v>19</v>
      </c>
      <c r="C34" s="149" t="str">
        <f>"   Tax Effect of Permanent and Flow Through Differences (TCOS, ln "&amp;'SWEPCO TCOS'!B176&amp;")"</f>
        <v xml:space="preserve">   Tax Effect of Permanent and Flow Through Differences (TCOS, ln 108)</v>
      </c>
      <c r="D34" s="21"/>
      <c r="F34" s="148">
        <f>+'SWEPCO TCOS'!L176</f>
        <v>324711.63975127228</v>
      </c>
      <c r="G34" s="21"/>
      <c r="H34" s="21"/>
      <c r="I34" s="21"/>
      <c r="J34" s="21"/>
      <c r="K34" s="21"/>
      <c r="L34" s="520"/>
      <c r="M34" s="520"/>
      <c r="N34" s="520"/>
      <c r="O34" s="520"/>
      <c r="P34" s="520"/>
      <c r="Q34" s="21"/>
      <c r="R34" s="1152">
        <f>+F81</f>
        <v>2008632153.7638299</v>
      </c>
      <c r="S34" s="448" t="str">
        <f>+C81</f>
        <v>Transmission Plant @ End of Period (Worksheet A ln 9 col. ((C))</v>
      </c>
      <c r="T34"/>
      <c r="U34" s="138"/>
    </row>
    <row r="35" spans="1:21" ht="15">
      <c r="A35" s="198">
        <f t="shared" si="0"/>
        <v>20</v>
      </c>
      <c r="C35" s="146" t="s">
        <v>427</v>
      </c>
      <c r="D35" s="21"/>
      <c r="F35" s="660">
        <f>+SUM(F31:F34)</f>
        <v>11227601.421406977</v>
      </c>
      <c r="G35" s="21"/>
      <c r="H35" s="21"/>
      <c r="I35" s="21"/>
      <c r="J35" s="21"/>
      <c r="K35" s="21"/>
      <c r="L35" s="962"/>
      <c r="M35" s="962"/>
      <c r="N35" s="962"/>
      <c r="O35" s="962"/>
      <c r="P35" s="962"/>
      <c r="Q35" s="21"/>
      <c r="R35" s="1159">
        <f>+F83</f>
        <v>1926953229.3578701</v>
      </c>
      <c r="S35" s="451" t="str">
        <f>+C83</f>
        <v xml:space="preserve">Transmission Plant Average Balance for 2019 </v>
      </c>
      <c r="T35"/>
    </row>
    <row r="36" spans="1:21" ht="12.75" customHeight="1" thickBot="1">
      <c r="A36" s="198"/>
      <c r="C36" s="16"/>
      <c r="D36" s="21"/>
      <c r="E36" s="21"/>
      <c r="F36" s="21"/>
      <c r="G36" s="21"/>
      <c r="H36" s="21"/>
      <c r="I36" s="21"/>
      <c r="J36" s="21"/>
      <c r="K36" s="21"/>
      <c r="L36" s="962"/>
      <c r="M36" s="962"/>
      <c r="N36" s="962"/>
      <c r="O36" s="962"/>
      <c r="P36" s="962"/>
      <c r="Q36" s="21"/>
      <c r="R36" s="1160">
        <f>+F84</f>
        <v>45165575.882299401</v>
      </c>
      <c r="S36" s="452" t="str">
        <f>+C84</f>
        <v>Annual Depreciation Expense  (TCOS, ln 84)</v>
      </c>
      <c r="T36"/>
    </row>
    <row r="37" spans="1:21" ht="18.75">
      <c r="A37" s="198"/>
      <c r="B37" s="136" t="s">
        <v>348</v>
      </c>
      <c r="C37" s="137" t="str">
        <f>"Calculate Net Plant Carrying Charge Rate (Fixed Charge Rate or FCR) with hypothetical "&amp;F11&amp;" basis point"</f>
        <v>Calculate Net Plant Carrying Charge Rate (Fixed Charge Rate or FCR) with hypothetical 0 basis point</v>
      </c>
      <c r="D37" s="21"/>
      <c r="E37" s="21"/>
      <c r="F37" s="21"/>
      <c r="G37" s="21"/>
      <c r="H37" s="21"/>
      <c r="I37" s="21"/>
      <c r="J37" s="21"/>
      <c r="K37" s="21"/>
      <c r="L37" s="962"/>
      <c r="M37" s="962"/>
      <c r="N37" s="962"/>
      <c r="O37" s="962"/>
      <c r="P37" s="962"/>
      <c r="Q37" s="21"/>
      <c r="R37" s="440"/>
      <c r="S37" s="40"/>
      <c r="T37"/>
    </row>
    <row r="38" spans="1:21" ht="18.75" customHeight="1">
      <c r="A38" s="198"/>
      <c r="B38" s="136"/>
      <c r="C38" s="137" t="str">
        <f>"ROE increase."</f>
        <v>ROE increase.</v>
      </c>
      <c r="D38" s="21"/>
      <c r="E38" s="21"/>
      <c r="F38" s="21"/>
      <c r="G38" s="21"/>
      <c r="H38" s="21"/>
      <c r="I38" s="21"/>
      <c r="J38" s="21"/>
      <c r="K38" s="21"/>
      <c r="L38" s="21"/>
      <c r="M38" s="21"/>
      <c r="N38" s="21"/>
      <c r="O38" s="21"/>
      <c r="P38" s="49"/>
      <c r="Q38" s="21"/>
      <c r="R38" s="38"/>
    </row>
    <row r="39" spans="1:21" ht="12.75" customHeight="1">
      <c r="A39" s="198"/>
      <c r="C39" s="16"/>
      <c r="D39" s="21"/>
      <c r="E39" s="21"/>
      <c r="F39" s="21"/>
      <c r="G39" s="21"/>
      <c r="H39" s="21"/>
      <c r="I39" s="21"/>
      <c r="J39" s="21"/>
      <c r="K39" s="21"/>
      <c r="P39" s="49"/>
      <c r="Q39" s="21"/>
      <c r="R39" s="38"/>
    </row>
    <row r="40" spans="1:21" ht="15.75">
      <c r="A40" s="198"/>
      <c r="C40" s="206" t="s">
        <v>175</v>
      </c>
      <c r="D40" s="21"/>
      <c r="E40" s="21"/>
      <c r="F40" s="20"/>
      <c r="G40" s="20"/>
      <c r="H40" s="21"/>
      <c r="I40" s="21"/>
      <c r="J40" s="21"/>
      <c r="K40" s="21"/>
      <c r="P40" s="49"/>
      <c r="Q40" s="21"/>
      <c r="R40" s="194" t="s">
        <v>196</v>
      </c>
      <c r="S40" s="363" t="s">
        <v>487</v>
      </c>
    </row>
    <row r="41" spans="1:21" ht="12.75" customHeight="1">
      <c r="A41" s="198">
        <f>+A35+1</f>
        <v>21</v>
      </c>
      <c r="C41" s="149" t="str">
        <f>"   Net Revenue Requirement  (TCOS, ln "&amp;'SWEPCO TCOS'!B189&amp;")"</f>
        <v xml:space="preserve">   Net Revenue Requirement  (TCOS, ln 115)</v>
      </c>
      <c r="D41" s="150"/>
      <c r="E41" s="150"/>
      <c r="F41" s="148">
        <f>+'SWEPCO TCOS'!L189</f>
        <v>179086935.07937288</v>
      </c>
      <c r="G41" s="148"/>
      <c r="H41" s="150"/>
      <c r="I41" s="150"/>
      <c r="J41" s="150"/>
      <c r="K41" s="150"/>
      <c r="L41" s="150"/>
      <c r="M41" s="150"/>
      <c r="N41" s="150"/>
      <c r="O41" s="150"/>
      <c r="P41" s="148"/>
      <c r="Q41" s="150"/>
      <c r="R41" s="38"/>
    </row>
    <row r="42" spans="1:21">
      <c r="A42" s="198">
        <f t="shared" si="0"/>
        <v>22</v>
      </c>
      <c r="C42" s="149" t="str">
        <f>"   Return  (TCOS, ln "&amp;'SWEPCO TCOS'!B180&amp;")"</f>
        <v xml:space="preserve">   Return  (TCOS, ln 110)</v>
      </c>
      <c r="D42" s="150"/>
      <c r="E42" s="150"/>
      <c r="F42" s="151">
        <f>+'SWEPCO TCOS'!L180</f>
        <v>80641339.21916987</v>
      </c>
      <c r="G42" s="151"/>
      <c r="H42" s="152"/>
      <c r="I42" s="152"/>
      <c r="J42" s="152"/>
      <c r="K42" s="152"/>
      <c r="L42" s="152"/>
      <c r="M42" s="152"/>
      <c r="N42" s="152"/>
      <c r="O42" s="152"/>
      <c r="P42" s="148"/>
      <c r="Q42" s="152"/>
      <c r="R42" s="363" t="s">
        <v>197</v>
      </c>
      <c r="S42" s="363" t="s">
        <v>487</v>
      </c>
    </row>
    <row r="43" spans="1:21">
      <c r="A43" s="198">
        <f t="shared" si="0"/>
        <v>23</v>
      </c>
      <c r="C43" s="149" t="str">
        <f>"   Income Taxes  (TCOS, ln "&amp;'SWEPCO TCOS'!B178&amp;")"</f>
        <v xml:space="preserve">   Income Taxes  (TCOS, ln 109)</v>
      </c>
      <c r="D43" s="150"/>
      <c r="E43" s="150"/>
      <c r="F43" s="148">
        <f>+'SWEPCO TCOS'!L178</f>
        <v>11227601.421406977</v>
      </c>
      <c r="G43" s="148"/>
      <c r="H43" s="150"/>
      <c r="I43" s="150"/>
      <c r="J43" s="150"/>
      <c r="K43" s="150"/>
      <c r="L43" s="154"/>
      <c r="M43" s="154"/>
      <c r="N43" s="154"/>
      <c r="O43" s="154"/>
      <c r="P43" s="150"/>
      <c r="Q43" s="154"/>
      <c r="R43" s="363"/>
      <c r="S43" s="194"/>
    </row>
    <row r="44" spans="1:21">
      <c r="A44" s="198">
        <f t="shared" si="0"/>
        <v>24</v>
      </c>
      <c r="C44" s="149" t="str">
        <f>"  Gross Margin Taxes  (TCOS, ln "&amp;'SWEPCO TCOS'!B187&amp;")"</f>
        <v xml:space="preserve">  Gross Margin Taxes  (TCOS, ln 114)</v>
      </c>
      <c r="D44" s="150"/>
      <c r="E44" s="150"/>
      <c r="F44" s="204">
        <f>+'SWEPCO TCOS'!L187</f>
        <v>155463.00046849539</v>
      </c>
      <c r="G44" s="148"/>
      <c r="H44" s="150"/>
      <c r="I44" s="150"/>
      <c r="J44" s="150"/>
      <c r="K44" s="150"/>
      <c r="L44" s="154"/>
      <c r="M44" s="154"/>
      <c r="N44" s="154"/>
      <c r="O44" s="154"/>
      <c r="P44" s="150"/>
      <c r="Q44" s="154"/>
      <c r="R44" s="363"/>
      <c r="S44" s="194"/>
    </row>
    <row r="45" spans="1:21">
      <c r="A45" s="198">
        <f t="shared" si="0"/>
        <v>25</v>
      </c>
      <c r="C45" s="40" t="s">
        <v>36</v>
      </c>
      <c r="D45" s="150"/>
      <c r="E45" s="150"/>
      <c r="F45" s="151">
        <f>F41-F42-F43-F44</f>
        <v>87062531.438327551</v>
      </c>
      <c r="G45" s="151"/>
      <c r="H45" s="155"/>
      <c r="I45" s="150"/>
      <c r="J45" s="150"/>
      <c r="K45" s="150"/>
      <c r="L45" s="155"/>
      <c r="M45" s="155"/>
      <c r="N45" s="155"/>
      <c r="O45" s="155"/>
      <c r="P45" s="155"/>
      <c r="Q45" s="155"/>
      <c r="R45" s="445" t="s">
        <v>193</v>
      </c>
      <c r="S45" s="363" t="s">
        <v>87</v>
      </c>
    </row>
    <row r="46" spans="1:21" ht="13.5" thickBot="1">
      <c r="A46" s="198"/>
      <c r="C46" s="149"/>
      <c r="D46" s="150"/>
      <c r="E46" s="150"/>
      <c r="F46" s="148"/>
      <c r="G46" s="148"/>
      <c r="H46" s="156"/>
      <c r="I46" s="157"/>
      <c r="J46" s="157"/>
      <c r="K46" s="157"/>
      <c r="L46" s="157"/>
      <c r="M46" s="157"/>
      <c r="N46" s="157"/>
      <c r="O46" s="157"/>
      <c r="P46" s="157"/>
      <c r="Q46" s="157"/>
      <c r="R46" s="363" t="s">
        <v>488</v>
      </c>
    </row>
    <row r="47" spans="1:21" ht="15.75">
      <c r="A47" s="198"/>
      <c r="C47" s="206" t="str">
        <f>"B.   Determine Net Revenue Requirement with hypothetical "&amp;F11&amp;" basis point increase in ROE."</f>
        <v>B.   Determine Net Revenue Requirement with hypothetical 0 basis point increase in ROE.</v>
      </c>
      <c r="D47" s="158"/>
      <c r="E47" s="158"/>
      <c r="F47" s="148"/>
      <c r="G47" s="148"/>
      <c r="H47" s="156"/>
      <c r="I47" s="157"/>
      <c r="J47" s="157"/>
      <c r="K47" s="157"/>
      <c r="L47" s="157"/>
      <c r="M47" s="157"/>
      <c r="N47" s="157"/>
      <c r="O47" s="157"/>
      <c r="P47" s="157"/>
      <c r="Q47" s="157"/>
      <c r="R47" s="1462">
        <v>86612871.407630518</v>
      </c>
      <c r="S47" s="38" t="str">
        <f>+M17&amp;" "&amp;N15</f>
        <v xml:space="preserve"> Rev Require</v>
      </c>
    </row>
    <row r="48" spans="1:21">
      <c r="A48" s="198">
        <f>+A45+1</f>
        <v>26</v>
      </c>
      <c r="C48" s="149" t="str">
        <f>C45</f>
        <v xml:space="preserve">   Net Revenue Requirement, Less Return and Taxes</v>
      </c>
      <c r="D48" s="158"/>
      <c r="E48" s="158"/>
      <c r="F48" s="148">
        <f>F45</f>
        <v>87062531.438327551</v>
      </c>
      <c r="G48" s="148"/>
      <c r="H48" s="156"/>
      <c r="I48" s="157"/>
      <c r="J48" s="157"/>
      <c r="K48" s="157"/>
      <c r="L48" s="157"/>
      <c r="M48" s="157"/>
      <c r="N48" s="157"/>
      <c r="O48" s="157"/>
      <c r="P48" s="157"/>
      <c r="Q48" s="157"/>
      <c r="R48" s="1463">
        <v>86612871.407630518</v>
      </c>
      <c r="S48" s="38" t="str">
        <f>+M17&amp;" "&amp;O15</f>
        <v xml:space="preserve">  With Incentives</v>
      </c>
    </row>
    <row r="49" spans="1:19">
      <c r="A49" s="198">
        <f t="shared" ref="A49:A55" si="1">+A48+1</f>
        <v>27</v>
      </c>
      <c r="C49" s="158" t="s">
        <v>435</v>
      </c>
      <c r="D49" s="160"/>
      <c r="E49" s="40"/>
      <c r="F49" s="161">
        <f>E24</f>
        <v>80641339.21916987</v>
      </c>
      <c r="G49" s="148"/>
      <c r="H49" s="150"/>
      <c r="I49" s="150"/>
      <c r="J49" s="150"/>
      <c r="K49" s="150"/>
      <c r="L49" s="150"/>
      <c r="M49" s="150"/>
      <c r="N49" s="150"/>
      <c r="O49" s="150"/>
      <c r="P49" s="159"/>
      <c r="Q49" s="150"/>
      <c r="R49" s="1463">
        <v>86327441.697800845</v>
      </c>
      <c r="S49" s="38" t="str">
        <f>+M18&amp;" "&amp;N15</f>
        <v xml:space="preserve"> Rev Require</v>
      </c>
    </row>
    <row r="50" spans="1:19" ht="13.5" thickBot="1">
      <c r="A50" s="198">
        <f t="shared" si="1"/>
        <v>28</v>
      </c>
      <c r="C50" s="149" t="s">
        <v>428</v>
      </c>
      <c r="D50" s="150"/>
      <c r="E50" s="150"/>
      <c r="F50" s="248">
        <f>F35</f>
        <v>11227601.421406977</v>
      </c>
      <c r="G50" s="161"/>
      <c r="H50" s="40"/>
      <c r="I50" s="1126"/>
      <c r="J50" s="1126"/>
      <c r="K50" s="1126"/>
      <c r="L50" s="40"/>
      <c r="M50" s="40"/>
      <c r="N50" s="40"/>
      <c r="O50" s="40"/>
      <c r="P50" s="40"/>
      <c r="R50" s="1464">
        <v>86327441.697800845</v>
      </c>
      <c r="S50" s="38" t="str">
        <f>+M18&amp;" "&amp;O15</f>
        <v xml:space="preserve">  With Incentives</v>
      </c>
    </row>
    <row r="51" spans="1:19" ht="12.75" customHeight="1">
      <c r="A51" s="198">
        <f t="shared" si="1"/>
        <v>29</v>
      </c>
      <c r="C51" s="40" t="str">
        <f>"   Net Revenue Requirement, with "&amp;F11&amp;" Basis Point ROE increase"</f>
        <v xml:space="preserve">   Net Revenue Requirement, with 0 Basis Point ROE increase</v>
      </c>
      <c r="F51" s="207">
        <f>SUM(F48:F50)</f>
        <v>178931472.07890439</v>
      </c>
      <c r="G51" s="153"/>
    </row>
    <row r="52" spans="1:19">
      <c r="A52" s="198">
        <f t="shared" si="1"/>
        <v>30</v>
      </c>
      <c r="C52" s="147" t="str">
        <f>"   Gross Margin Tax with "&amp;F89&amp;" Basis Point ROE Increase (II C. below)"</f>
        <v xml:space="preserve">   Gross Margin Tax with  Basis Point ROE Increase (II C. below)</v>
      </c>
      <c r="D52" s="163"/>
      <c r="E52" s="163"/>
      <c r="F52" s="205">
        <f>+F67</f>
        <v>155463.00046849539</v>
      </c>
      <c r="G52" s="207"/>
    </row>
    <row r="53" spans="1:19">
      <c r="A53" s="198">
        <f t="shared" si="1"/>
        <v>31</v>
      </c>
      <c r="C53" s="40" t="s">
        <v>37</v>
      </c>
      <c r="F53" s="161">
        <f>+F51+F52</f>
        <v>179086935.07937288</v>
      </c>
      <c r="G53" s="161"/>
    </row>
    <row r="54" spans="1:19">
      <c r="A54" s="198">
        <f t="shared" si="1"/>
        <v>32</v>
      </c>
      <c r="C54" s="149" t="str">
        <f>"   Less: Depreciation  (TCOS, ln "&amp;'SWEPCO TCOS'!B149&amp;")"</f>
        <v xml:space="preserve">   Less: Depreciation  (TCOS, ln 84)</v>
      </c>
      <c r="F54" s="264">
        <f>+'SWEPCO TCOS'!L149</f>
        <v>43063768.233464815</v>
      </c>
      <c r="G54" s="161"/>
    </row>
    <row r="55" spans="1:19">
      <c r="A55" s="198">
        <f t="shared" si="1"/>
        <v>33</v>
      </c>
      <c r="C55" s="40" t="str">
        <f>"   Net Rev. Req, w/"&amp;F11&amp;" Basis Point ROE increase, less Depreciation"</f>
        <v xml:space="preserve">   Net Rev. Req, w/0 Basis Point ROE increase, less Depreciation</v>
      </c>
      <c r="F55" s="207">
        <f>F53-F54</f>
        <v>136023166.84590808</v>
      </c>
      <c r="G55" s="264"/>
    </row>
    <row r="56" spans="1:19">
      <c r="A56" s="198"/>
      <c r="G56" s="207"/>
    </row>
    <row r="57" spans="1:19" ht="15.75">
      <c r="A57" s="198"/>
      <c r="C57" s="206" t="str">
        <f>"C.   Determine Gross Margin Tax with hypothetical "&amp;F11&amp;" basis point increase in ROE."</f>
        <v>C.   Determine Gross Margin Tax with hypothetical 0 basis point increase in ROE.</v>
      </c>
      <c r="D57" s="163"/>
      <c r="E57" s="163"/>
      <c r="F57" s="207"/>
    </row>
    <row r="58" spans="1:19">
      <c r="A58" s="198">
        <f>+A55+1</f>
        <v>34</v>
      </c>
      <c r="C58" s="147" t="str">
        <f>"   Net Revenue Requirement before Gross Margin Taxes, with "&amp;F11&amp;" "</f>
        <v xml:space="preserve">   Net Revenue Requirement before Gross Margin Taxes, with 0 </v>
      </c>
      <c r="D58" s="163"/>
      <c r="E58" s="163"/>
      <c r="F58" s="207">
        <f>+F51</f>
        <v>178931472.07890439</v>
      </c>
      <c r="G58" s="207"/>
    </row>
    <row r="59" spans="1:19">
      <c r="A59" s="198">
        <f t="shared" ref="A59:A67" si="2">+A58+1</f>
        <v>35</v>
      </c>
      <c r="C59" s="147" t="s">
        <v>38</v>
      </c>
      <c r="D59" s="163"/>
      <c r="E59" s="163"/>
      <c r="F59" s="207"/>
      <c r="G59" s="207"/>
    </row>
    <row r="60" spans="1:19">
      <c r="A60" s="198">
        <f t="shared" si="2"/>
        <v>36</v>
      </c>
      <c r="C60" s="40" t="str">
        <f>"       Apportionment Factor to Texas (Worksheet K, ln "&amp;'SWEPCO WS K State Taxes'!A52&amp;")"</f>
        <v xml:space="preserve">       Apportionment Factor to Texas (Worksheet K, ln 12)</v>
      </c>
      <c r="F60" s="208">
        <f>+'SWEPCO WS K State Taxes'!E52</f>
        <v>0.39458224543080939</v>
      </c>
      <c r="G60" s="207"/>
    </row>
    <row r="61" spans="1:19">
      <c r="A61" s="198">
        <f t="shared" si="2"/>
        <v>37</v>
      </c>
      <c r="C61" s="40" t="s">
        <v>39</v>
      </c>
      <c r="F61" s="207">
        <f>+F60*F58</f>
        <v>70603182.031134263</v>
      </c>
      <c r="G61" s="164"/>
    </row>
    <row r="62" spans="1:19">
      <c r="A62" s="198">
        <f t="shared" si="2"/>
        <v>38</v>
      </c>
      <c r="C62" s="40" t="s">
        <v>1429</v>
      </c>
      <c r="F62" s="1385">
        <v>0.22</v>
      </c>
      <c r="G62" s="207"/>
    </row>
    <row r="63" spans="1:19">
      <c r="A63" s="198">
        <f t="shared" si="2"/>
        <v>39</v>
      </c>
      <c r="C63" s="40" t="s">
        <v>40</v>
      </c>
      <c r="F63" s="1386">
        <f>+F61*F62</f>
        <v>15532700.046849538</v>
      </c>
      <c r="G63" s="1349"/>
    </row>
    <row r="64" spans="1:19">
      <c r="A64" s="198">
        <f t="shared" si="2"/>
        <v>40</v>
      </c>
      <c r="C64" s="40" t="s">
        <v>41</v>
      </c>
      <c r="F64" s="1385">
        <v>0.01</v>
      </c>
      <c r="G64" s="207"/>
    </row>
    <row r="65" spans="1:8">
      <c r="A65" s="198">
        <f t="shared" si="2"/>
        <v>41</v>
      </c>
      <c r="C65" s="40" t="s">
        <v>42</v>
      </c>
      <c r="F65" s="207">
        <f>+F63*F64</f>
        <v>155327.00046849539</v>
      </c>
      <c r="G65" s="1349"/>
    </row>
    <row r="66" spans="1:8">
      <c r="A66" s="198">
        <f t="shared" si="2"/>
        <v>42</v>
      </c>
      <c r="C66" s="40" t="s">
        <v>43</v>
      </c>
      <c r="F66" s="1153">
        <f>+ROUND((F65*F62*F60)/(1-F64)*F64,0)</f>
        <v>136</v>
      </c>
      <c r="G66" s="207"/>
    </row>
    <row r="67" spans="1:8">
      <c r="A67" s="198">
        <f t="shared" si="2"/>
        <v>43</v>
      </c>
      <c r="C67" s="40" t="s">
        <v>44</v>
      </c>
      <c r="F67" s="207">
        <f>+F65+F66</f>
        <v>155463.00046849539</v>
      </c>
      <c r="G67" s="1154"/>
    </row>
    <row r="68" spans="1:8">
      <c r="A68" s="198"/>
      <c r="G68" s="207"/>
    </row>
    <row r="69" spans="1:8" ht="15.75">
      <c r="A69" s="198"/>
      <c r="C69" s="206" t="str">
        <f>"D.   Determine FCR with hypothetical "&amp;F11&amp;" basis point ROE increase."</f>
        <v>D.   Determine FCR with hypothetical 0 basis point ROE increase.</v>
      </c>
    </row>
    <row r="70" spans="1:8">
      <c r="A70" s="198">
        <f>+A67+1</f>
        <v>44</v>
      </c>
      <c r="C70" s="149" t="str">
        <f>"   Net Transmission Plant  (TCOS, ln "&amp;'SWEPCO TCOS'!B78&amp;")"</f>
        <v xml:space="preserve">   Net Transmission Plant  (TCOS, ln 37)</v>
      </c>
      <c r="F70" s="207">
        <f>+'SWEPCO TCOS'!L78</f>
        <v>1321926041.0705667</v>
      </c>
    </row>
    <row r="71" spans="1:8" ht="15">
      <c r="A71" s="198">
        <f>+A70+1</f>
        <v>45</v>
      </c>
      <c r="C71" s="40" t="str">
        <f>"   Net Revenue Requirement, with "&amp;F11&amp;" Basis Point ROE increase"</f>
        <v xml:space="preserve">   Net Revenue Requirement, with 0 Basis Point ROE increase</v>
      </c>
      <c r="F71" s="312">
        <f>+F53</f>
        <v>179086935.07937288</v>
      </c>
      <c r="G71" s="207"/>
    </row>
    <row r="72" spans="1:8" ht="15">
      <c r="A72" s="198">
        <f>+A71+1</f>
        <v>46</v>
      </c>
      <c r="C72" s="40" t="str">
        <f>"   FCR with "&amp;F11&amp;" Basis Point increase in ROE"</f>
        <v xml:space="preserve">   FCR with 0 Basis Point increase in ROE</v>
      </c>
      <c r="F72" s="265">
        <f>IF(F70=0,0,F71/F70)</f>
        <v>0.13547424705722469</v>
      </c>
      <c r="G72" s="312"/>
    </row>
    <row r="73" spans="1:8">
      <c r="A73" s="198"/>
      <c r="G73" s="265"/>
    </row>
    <row r="74" spans="1:8">
      <c r="A74" s="198">
        <f>+A72+1</f>
        <v>47</v>
      </c>
      <c r="C74" s="40" t="str">
        <f>"   Net Rev. Req, w / "&amp;F11&amp;" Basis Point ROE increase, less Dep."</f>
        <v xml:space="preserve">   Net Rev. Req, w / 0 Basis Point ROE increase, less Dep.</v>
      </c>
      <c r="F74" s="207">
        <f>+F55</f>
        <v>136023166.84590808</v>
      </c>
      <c r="H74" s="265"/>
    </row>
    <row r="75" spans="1:8">
      <c r="A75" s="198">
        <f t="shared" ref="A75:A87" si="3">+A74+1</f>
        <v>48</v>
      </c>
      <c r="C75" s="40" t="str">
        <f>"   FCR with "&amp;F11&amp;" Basis Point ROE increase, less Depreciation"</f>
        <v xml:space="preserve">   FCR with 0 Basis Point ROE increase, less Depreciation</v>
      </c>
      <c r="F75" s="265">
        <f>IF(F70=0,0,F74/F70)</f>
        <v>0.10289771335145892</v>
      </c>
      <c r="G75" s="207"/>
    </row>
    <row r="76" spans="1:8">
      <c r="A76" s="198">
        <f t="shared" si="3"/>
        <v>49</v>
      </c>
      <c r="C76" s="149" t="str">
        <f>"   FCR less Depreciation  (TCOS, ln "&amp;'SWEPCO TCOS'!B29&amp;")"</f>
        <v xml:space="preserve">   FCR less Depreciation  (TCOS, ln 10)</v>
      </c>
      <c r="F76" s="266">
        <f>+'SWEPCO TCOS'!L29</f>
        <v>0.10289771335145892</v>
      </c>
      <c r="G76" s="265"/>
      <c r="H76" s="207"/>
    </row>
    <row r="77" spans="1:8">
      <c r="A77" s="198">
        <f t="shared" si="3"/>
        <v>50</v>
      </c>
      <c r="C77" s="40" t="str">
        <f>"   Incremental FCR with "&amp;F11&amp;" Basis Point ROE increase, less Depreciation"</f>
        <v xml:space="preserve">   Incremental FCR with 0 Basis Point ROE increase, less Depreciation</v>
      </c>
      <c r="F77" s="265">
        <f>F75-F76</f>
        <v>0</v>
      </c>
      <c r="G77" s="266"/>
      <c r="H77" s="1155"/>
    </row>
    <row r="78" spans="1:8">
      <c r="A78" s="198"/>
      <c r="C78" s="40"/>
      <c r="F78" s="265"/>
      <c r="G78" s="265"/>
    </row>
    <row r="79" spans="1:8" ht="18.75">
      <c r="A79" s="198"/>
      <c r="B79" s="136" t="s">
        <v>349</v>
      </c>
      <c r="C79" s="137" t="s">
        <v>429</v>
      </c>
      <c r="F79" s="265"/>
      <c r="G79" s="265"/>
    </row>
    <row r="80" spans="1:8" ht="12.75" customHeight="1">
      <c r="A80" s="198">
        <f>+A77+1</f>
        <v>51</v>
      </c>
      <c r="B80" s="136"/>
      <c r="C80" s="40" t="str">
        <f>"Transmission Plant @ Beginning of Period (Worksheet A ln "&amp;'SWEPCO WS A RB Support '!A25&amp;" col. ("&amp;'SWEPCO WS A RB Support '!F6&amp;")"</f>
        <v>Transmission Plant @ Beginning of Period (Worksheet A ln 9 col. ((D))</v>
      </c>
      <c r="F80" s="1101">
        <f>+'SWEPCO WS A RB Support '!F25</f>
        <v>1845274304.95191</v>
      </c>
    </row>
    <row r="81" spans="1:16" ht="12.75" customHeight="1">
      <c r="A81" s="198">
        <f t="shared" si="3"/>
        <v>52</v>
      </c>
      <c r="B81" s="136"/>
      <c r="C81" s="40" t="str">
        <f>"Transmission Plant @ End of Period (Worksheet A ln "&amp;'SWEPCO WS A RB Support '!A25&amp;" col. ("&amp;'SWEPCO WS A RB Support '!E6&amp;")"</f>
        <v>Transmission Plant @ End of Period (Worksheet A ln 9 col. ((C))</v>
      </c>
      <c r="F81" s="1387">
        <f>+'SWEPCO WS A RB Support '!E25</f>
        <v>2008632153.7638299</v>
      </c>
    </row>
    <row r="82" spans="1:16" ht="12.75" customHeight="1">
      <c r="A82" s="198"/>
      <c r="B82" s="136"/>
      <c r="C82" s="40"/>
      <c r="F82" s="1101">
        <f>+F81+F80</f>
        <v>3853906458.7157402</v>
      </c>
    </row>
    <row r="83" spans="1:16" ht="12.75" customHeight="1">
      <c r="A83" s="198">
        <f>+A81+1</f>
        <v>53</v>
      </c>
      <c r="C83" s="40" t="str">
        <f>"Transmission Plant Average Balance for "&amp;'SWEPCO TCOS'!$N$1&amp;" "</f>
        <v xml:space="preserve">Transmission Plant Average Balance for 2019 </v>
      </c>
      <c r="F83" s="1126">
        <f>+F82/2</f>
        <v>1926953229.3578701</v>
      </c>
      <c r="G83" s="1101"/>
    </row>
    <row r="84" spans="1:16">
      <c r="A84" s="198">
        <f t="shared" si="3"/>
        <v>54</v>
      </c>
      <c r="C84" s="970" t="str">
        <f>"Annual Depreciation Expense  (TCOS, ln "&amp;'SWEPCO TCOS'!B149&amp;")"</f>
        <v>Annual Depreciation Expense  (TCOS, ln 84)</v>
      </c>
      <c r="F84" s="1126">
        <f>+'SWEPCO TCOS'!G149</f>
        <v>45165575.882299401</v>
      </c>
      <c r="G84" s="1126"/>
    </row>
    <row r="85" spans="1:16">
      <c r="A85" s="198">
        <f t="shared" si="3"/>
        <v>55</v>
      </c>
      <c r="C85" s="40" t="s">
        <v>430</v>
      </c>
      <c r="F85" s="265">
        <f>IF(F83=0,0,F84/F83)</f>
        <v>2.3438854246270516E-2</v>
      </c>
      <c r="G85" s="1126"/>
    </row>
    <row r="86" spans="1:16">
      <c r="A86" s="198">
        <f t="shared" si="3"/>
        <v>56</v>
      </c>
      <c r="C86" s="40" t="s">
        <v>431</v>
      </c>
      <c r="F86" s="1156">
        <f>IF(F85=0,0,1/F85)</f>
        <v>42.664201479008533</v>
      </c>
      <c r="G86" s="265"/>
      <c r="I86" s="1124"/>
      <c r="J86" s="1124"/>
      <c r="K86" s="1124"/>
    </row>
    <row r="87" spans="1:16">
      <c r="A87" s="198">
        <f t="shared" si="3"/>
        <v>57</v>
      </c>
      <c r="C87" s="40" t="s">
        <v>432</v>
      </c>
      <c r="F87" s="268">
        <f>ROUND(F86,0)</f>
        <v>43</v>
      </c>
      <c r="G87" s="1156"/>
    </row>
    <row r="88" spans="1:16">
      <c r="A88" s="198"/>
      <c r="C88" s="149"/>
      <c r="D88" s="158"/>
      <c r="E88" s="158"/>
      <c r="F88" s="148"/>
      <c r="G88" s="268"/>
    </row>
    <row r="89" spans="1:16">
      <c r="C89" s="40"/>
      <c r="F89" s="268"/>
      <c r="G89" s="268"/>
    </row>
    <row r="91" spans="1:16" ht="20.25">
      <c r="A91" s="635" t="str">
        <f>"Worksheet G  --  "&amp;'SWEPCO TCOS'!F7&amp;"--  Calculation of Trued-Up ARR for SPP Base Plan Upgrade Projects"</f>
        <v>Worksheet G  --  SOUTHWESTERN ELECTRIC POWER COMPANY--  Calculation of Trued-Up ARR for SPP Base Plan Upgrade Projects</v>
      </c>
      <c r="B91" s="588"/>
      <c r="C91" s="602"/>
      <c r="D91" s="598"/>
      <c r="E91" s="588"/>
      <c r="F91" s="604"/>
      <c r="G91" s="604"/>
      <c r="H91" s="588"/>
      <c r="I91" s="589"/>
      <c r="J91" s="588"/>
      <c r="K91" s="599"/>
      <c r="L91" s="606"/>
      <c r="M91" s="606"/>
      <c r="N91" s="588"/>
      <c r="O91" s="588"/>
      <c r="P91" s="606"/>
    </row>
    <row r="92" spans="1:16" ht="18">
      <c r="A92" s="588"/>
      <c r="B92" s="588"/>
      <c r="C92" s="588"/>
      <c r="D92" s="598"/>
      <c r="E92" s="588"/>
      <c r="F92" s="588"/>
      <c r="G92" s="588"/>
      <c r="H92" s="588"/>
      <c r="I92" s="589"/>
      <c r="J92" s="588"/>
      <c r="K92" s="599"/>
      <c r="L92" s="588"/>
      <c r="M92" s="588"/>
      <c r="N92" s="588"/>
      <c r="O92" s="588"/>
      <c r="P92" s="636"/>
    </row>
    <row r="93" spans="1:16" ht="18.75" thickBot="1">
      <c r="A93" s="588"/>
      <c r="B93" s="600" t="s">
        <v>350</v>
      </c>
      <c r="C93" s="623" t="s">
        <v>535</v>
      </c>
      <c r="D93" s="598"/>
      <c r="E93" s="588"/>
      <c r="F93" s="588"/>
      <c r="G93" s="588"/>
      <c r="H93" s="588"/>
      <c r="I93" s="589"/>
      <c r="J93" s="589"/>
      <c r="K93" s="526"/>
      <c r="L93" s="589"/>
      <c r="M93" s="589"/>
      <c r="N93" s="589"/>
      <c r="O93" s="526"/>
      <c r="P93" s="588"/>
    </row>
    <row r="94" spans="1:16" ht="15.75" thickBot="1">
      <c r="A94" s="588"/>
      <c r="B94" s="588"/>
      <c r="C94" s="16"/>
      <c r="D94" s="598"/>
      <c r="E94" s="588"/>
      <c r="F94" s="588"/>
      <c r="G94" s="588"/>
      <c r="H94" s="588"/>
      <c r="I94" s="589"/>
      <c r="J94" s="589"/>
      <c r="K94" s="526"/>
      <c r="L94" s="1383">
        <f>+M16</f>
        <v>2017</v>
      </c>
      <c r="M94" s="637" t="s">
        <v>420</v>
      </c>
      <c r="N94" s="638" t="s">
        <v>536</v>
      </c>
      <c r="O94" s="639" t="s">
        <v>421</v>
      </c>
      <c r="P94" s="588"/>
    </row>
    <row r="95" spans="1:16" ht="15">
      <c r="A95" s="588"/>
      <c r="B95" s="588"/>
      <c r="C95" s="591" t="s">
        <v>499</v>
      </c>
      <c r="D95" s="598"/>
      <c r="E95" s="588"/>
      <c r="F95" s="588"/>
      <c r="G95" s="588"/>
      <c r="H95" s="972"/>
      <c r="I95" s="991"/>
      <c r="J95" s="588"/>
      <c r="K95" s="992"/>
      <c r="L95" s="993" t="s">
        <v>548</v>
      </c>
      <c r="M95" s="624"/>
      <c r="N95" s="624"/>
      <c r="O95" s="625">
        <v>0</v>
      </c>
      <c r="P95" s="588"/>
    </row>
    <row r="96" spans="1:16" ht="15.75">
      <c r="A96" s="588"/>
      <c r="B96" s="588"/>
      <c r="C96" s="601"/>
      <c r="D96" s="598"/>
      <c r="E96" s="588"/>
      <c r="F96" s="588"/>
      <c r="G96" s="588"/>
      <c r="H96" s="588"/>
      <c r="I96" s="533"/>
      <c r="J96" s="533"/>
      <c r="K96" s="994"/>
      <c r="L96" s="995" t="s">
        <v>549</v>
      </c>
      <c r="M96" s="626"/>
      <c r="N96" s="626"/>
      <c r="O96" s="627">
        <v>0</v>
      </c>
      <c r="P96" s="588"/>
    </row>
    <row r="97" spans="1:16" ht="13.5" thickBot="1">
      <c r="A97" s="588"/>
      <c r="B97" s="588"/>
      <c r="C97" s="607" t="s">
        <v>537</v>
      </c>
      <c r="D97" s="975"/>
      <c r="E97" s="975"/>
      <c r="F97" s="588"/>
      <c r="G97" s="588"/>
      <c r="H97" s="588"/>
      <c r="I97" s="589"/>
      <c r="J97" s="589"/>
      <c r="K97" s="983"/>
      <c r="L97" s="640" t="s">
        <v>538</v>
      </c>
      <c r="M97" s="629"/>
      <c r="N97" s="629"/>
      <c r="O97" s="630">
        <v>0</v>
      </c>
      <c r="P97" s="588"/>
    </row>
    <row r="98" spans="1:16" ht="13.5" thickBot="1">
      <c r="A98" s="588"/>
      <c r="B98" s="588"/>
      <c r="C98" s="607"/>
      <c r="D98" s="996" t="s">
        <v>375</v>
      </c>
      <c r="E98" s="605"/>
      <c r="F98" s="605"/>
      <c r="G98" s="605"/>
      <c r="H98" s="608"/>
      <c r="I98" s="589"/>
      <c r="J98" s="589"/>
      <c r="K98" s="526"/>
      <c r="L98" s="589"/>
      <c r="M98" s="589"/>
      <c r="N98" s="589"/>
      <c r="O98" s="526"/>
      <c r="P98" s="588"/>
    </row>
    <row r="99" spans="1:16" ht="13.5" thickBot="1">
      <c r="A99" s="731"/>
      <c r="B99" s="588"/>
      <c r="C99" s="631" t="s">
        <v>539</v>
      </c>
      <c r="D99" s="977"/>
      <c r="E99" s="1010" t="s">
        <v>1145</v>
      </c>
      <c r="F99" s="997"/>
      <c r="G99" s="997"/>
      <c r="H99" s="997"/>
      <c r="I99" s="997"/>
      <c r="J99" s="997"/>
      <c r="K99" s="998"/>
      <c r="L99" s="588"/>
      <c r="M99" s="588"/>
      <c r="N99" s="588"/>
      <c r="O99" s="588"/>
      <c r="P99" s="999"/>
    </row>
    <row r="100" spans="1:16" ht="15">
      <c r="A100" s="588"/>
      <c r="B100" s="588"/>
      <c r="C100" s="641" t="s">
        <v>503</v>
      </c>
      <c r="D100" s="1161"/>
      <c r="E100" s="602" t="s">
        <v>149</v>
      </c>
      <c r="F100" s="588"/>
      <c r="G100" s="588"/>
      <c r="H100" s="610"/>
      <c r="I100" s="610"/>
      <c r="J100" s="596">
        <f>+M16</f>
        <v>2017</v>
      </c>
      <c r="K100" s="609"/>
      <c r="L100" s="526" t="s">
        <v>540</v>
      </c>
      <c r="M100" s="588"/>
      <c r="N100" s="588"/>
      <c r="O100" s="588"/>
      <c r="P100" s="599"/>
    </row>
    <row r="101" spans="1:16" ht="15">
      <c r="A101" s="588"/>
      <c r="B101" s="588"/>
      <c r="C101" s="611" t="s">
        <v>505</v>
      </c>
      <c r="D101" s="1162"/>
      <c r="E101" s="611" t="s">
        <v>506</v>
      </c>
      <c r="F101" s="610"/>
      <c r="G101" s="610"/>
      <c r="H101" s="588"/>
      <c r="I101" s="588"/>
      <c r="J101" s="612">
        <v>0</v>
      </c>
      <c r="K101" s="613"/>
      <c r="L101" s="588" t="s">
        <v>542</v>
      </c>
      <c r="M101" s="588"/>
      <c r="N101" s="588"/>
      <c r="O101" s="588"/>
      <c r="P101" s="599"/>
    </row>
    <row r="102" spans="1:16" ht="15">
      <c r="A102" s="588"/>
      <c r="B102" s="588"/>
      <c r="C102" s="611" t="s">
        <v>507</v>
      </c>
      <c r="D102" s="1162"/>
      <c r="E102" s="611" t="s">
        <v>508</v>
      </c>
      <c r="F102" s="610"/>
      <c r="G102" s="610"/>
      <c r="H102" s="588"/>
      <c r="I102" s="588"/>
      <c r="J102" s="614">
        <f>+F76</f>
        <v>0.10289771335145892</v>
      </c>
      <c r="K102" s="615"/>
      <c r="L102" s="588" t="s">
        <v>543</v>
      </c>
      <c r="M102" s="588"/>
      <c r="N102" s="588"/>
      <c r="O102" s="588"/>
      <c r="P102" s="599"/>
    </row>
    <row r="103" spans="1:16" ht="15">
      <c r="A103" s="588"/>
      <c r="B103" s="588"/>
      <c r="C103" s="611" t="s">
        <v>510</v>
      </c>
      <c r="D103" s="1162"/>
      <c r="E103" s="611" t="s">
        <v>511</v>
      </c>
      <c r="F103" s="610"/>
      <c r="G103" s="610"/>
      <c r="H103" s="588"/>
      <c r="I103" s="588"/>
      <c r="J103" s="547">
        <f>IF(H95="",J102,F75)</f>
        <v>0.10289771335145892</v>
      </c>
      <c r="K103" s="603"/>
      <c r="L103" s="526" t="s">
        <v>512</v>
      </c>
      <c r="M103" s="603"/>
      <c r="N103" s="603"/>
      <c r="O103" s="603"/>
      <c r="P103" s="599"/>
    </row>
    <row r="104" spans="1:16" ht="15.75" thickBot="1">
      <c r="A104" s="588"/>
      <c r="B104" s="588"/>
      <c r="C104" s="611" t="s">
        <v>513</v>
      </c>
      <c r="D104" s="1162"/>
      <c r="E104" s="628" t="s">
        <v>514</v>
      </c>
      <c r="F104" s="632"/>
      <c r="G104" s="632"/>
      <c r="H104" s="1002"/>
      <c r="I104" s="1002"/>
      <c r="J104" s="539"/>
      <c r="K104" s="526"/>
      <c r="L104" s="526"/>
      <c r="M104" s="526"/>
      <c r="N104" s="526"/>
      <c r="O104" s="526"/>
      <c r="P104" s="599"/>
    </row>
    <row r="105" spans="1:16" ht="38.25">
      <c r="A105" s="1003"/>
      <c r="B105" s="1003"/>
      <c r="C105" s="633" t="s">
        <v>433</v>
      </c>
      <c r="D105" s="555" t="s">
        <v>515</v>
      </c>
      <c r="E105" s="555" t="s">
        <v>516</v>
      </c>
      <c r="F105" s="555" t="s">
        <v>517</v>
      </c>
      <c r="G105" s="595" t="s">
        <v>212</v>
      </c>
      <c r="H105" s="642" t="s">
        <v>544</v>
      </c>
      <c r="I105" s="642" t="s">
        <v>519</v>
      </c>
      <c r="J105" s="633" t="s">
        <v>545</v>
      </c>
      <c r="K105" s="634"/>
      <c r="L105" s="556" t="s">
        <v>546</v>
      </c>
      <c r="M105" s="556" t="s">
        <v>547</v>
      </c>
      <c r="N105" s="556" t="s">
        <v>546</v>
      </c>
      <c r="O105" s="556" t="s">
        <v>547</v>
      </c>
      <c r="P105" s="556" t="s">
        <v>523</v>
      </c>
    </row>
    <row r="106" spans="1:16" ht="13.5" thickBot="1">
      <c r="A106" s="588"/>
      <c r="B106" s="588"/>
      <c r="C106" s="616" t="s">
        <v>524</v>
      </c>
      <c r="D106" s="594" t="s">
        <v>353</v>
      </c>
      <c r="E106" s="617" t="s">
        <v>252</v>
      </c>
      <c r="F106" s="617" t="s">
        <v>353</v>
      </c>
      <c r="G106" s="617" t="s">
        <v>353</v>
      </c>
      <c r="H106" s="562" t="s">
        <v>525</v>
      </c>
      <c r="I106" s="586" t="s">
        <v>526</v>
      </c>
      <c r="J106" s="617" t="s">
        <v>1138</v>
      </c>
      <c r="K106" s="618"/>
      <c r="L106" s="561" t="s">
        <v>528</v>
      </c>
      <c r="M106" s="561" t="s">
        <v>528</v>
      </c>
      <c r="N106" s="561" t="s">
        <v>1139</v>
      </c>
      <c r="O106" s="561" t="s">
        <v>1139</v>
      </c>
      <c r="P106" s="561" t="s">
        <v>1139</v>
      </c>
    </row>
    <row r="107" spans="1:16">
      <c r="A107" s="588"/>
      <c r="B107" s="588"/>
      <c r="C107" s="619" t="s">
        <v>541</v>
      </c>
      <c r="D107" s="620">
        <v>0</v>
      </c>
      <c r="E107" s="571">
        <v>0</v>
      </c>
      <c r="F107" s="648">
        <v>0</v>
      </c>
      <c r="G107" s="651">
        <v>0</v>
      </c>
      <c r="H107" s="653">
        <v>0</v>
      </c>
      <c r="I107" s="654">
        <v>0</v>
      </c>
      <c r="J107" s="647">
        <v>0</v>
      </c>
      <c r="K107" s="647"/>
      <c r="L107" s="1004"/>
      <c r="M107" s="646">
        <v>0</v>
      </c>
      <c r="N107" s="1004"/>
      <c r="O107" s="646">
        <v>0</v>
      </c>
      <c r="P107" s="646">
        <v>0</v>
      </c>
    </row>
    <row r="108" spans="1:16">
      <c r="A108" s="588"/>
      <c r="B108" s="598"/>
      <c r="C108" s="619">
        <v>2014</v>
      </c>
      <c r="D108" s="620">
        <v>0</v>
      </c>
      <c r="E108" s="571">
        <v>0</v>
      </c>
      <c r="F108" s="648">
        <v>0</v>
      </c>
      <c r="G108" s="648">
        <v>0</v>
      </c>
      <c r="H108" s="572">
        <v>0</v>
      </c>
      <c r="I108" s="1005">
        <v>0</v>
      </c>
      <c r="J108" s="647">
        <v>0</v>
      </c>
      <c r="K108" s="647"/>
      <c r="L108" s="1006"/>
      <c r="M108" s="647">
        <v>0</v>
      </c>
      <c r="N108" s="1006"/>
      <c r="O108" s="647">
        <v>0</v>
      </c>
      <c r="P108" s="647">
        <v>0</v>
      </c>
    </row>
    <row r="109" spans="1:16">
      <c r="A109" s="588"/>
      <c r="B109" s="598" t="s">
        <v>375</v>
      </c>
      <c r="C109" s="619">
        <v>2015</v>
      </c>
      <c r="D109" s="620">
        <v>0</v>
      </c>
      <c r="E109" s="571">
        <v>0</v>
      </c>
      <c r="F109" s="648">
        <v>0</v>
      </c>
      <c r="G109" s="648">
        <v>0</v>
      </c>
      <c r="H109" s="572">
        <v>0</v>
      </c>
      <c r="I109" s="1005">
        <v>0</v>
      </c>
      <c r="J109" s="647">
        <v>0</v>
      </c>
      <c r="K109" s="647"/>
      <c r="L109" s="1006"/>
      <c r="M109" s="647">
        <v>0</v>
      </c>
      <c r="N109" s="1006"/>
      <c r="O109" s="647">
        <v>0</v>
      </c>
      <c r="P109" s="647">
        <v>0</v>
      </c>
    </row>
    <row r="110" spans="1:16">
      <c r="A110" s="588"/>
      <c r="B110" s="598" t="s">
        <v>375</v>
      </c>
      <c r="C110" s="619">
        <v>2016</v>
      </c>
      <c r="D110" s="620">
        <v>0</v>
      </c>
      <c r="E110" s="571">
        <v>0</v>
      </c>
      <c r="F110" s="648">
        <v>0</v>
      </c>
      <c r="G110" s="648">
        <v>0</v>
      </c>
      <c r="H110" s="572">
        <v>0</v>
      </c>
      <c r="I110" s="1005">
        <v>0</v>
      </c>
      <c r="J110" s="647">
        <v>0</v>
      </c>
      <c r="K110" s="647"/>
      <c r="L110" s="1006"/>
      <c r="M110" s="647">
        <v>0</v>
      </c>
      <c r="N110" s="1006"/>
      <c r="O110" s="647">
        <v>0</v>
      </c>
      <c r="P110" s="647">
        <v>0</v>
      </c>
    </row>
    <row r="111" spans="1:16">
      <c r="A111" s="588"/>
      <c r="B111" s="598" t="s">
        <v>375</v>
      </c>
      <c r="C111" s="619">
        <v>2017</v>
      </c>
      <c r="D111" s="620">
        <v>0</v>
      </c>
      <c r="E111" s="571">
        <v>0</v>
      </c>
      <c r="F111" s="648">
        <v>0</v>
      </c>
      <c r="G111" s="648">
        <v>0</v>
      </c>
      <c r="H111" s="572">
        <v>0</v>
      </c>
      <c r="I111" s="1005">
        <v>0</v>
      </c>
      <c r="J111" s="647">
        <v>0</v>
      </c>
      <c r="K111" s="647"/>
      <c r="L111" s="1006"/>
      <c r="M111" s="647">
        <v>0</v>
      </c>
      <c r="N111" s="1006"/>
      <c r="O111" s="647">
        <v>0</v>
      </c>
      <c r="P111" s="647">
        <v>0</v>
      </c>
    </row>
    <row r="112" spans="1:16">
      <c r="A112" s="588"/>
      <c r="B112" s="598" t="s">
        <v>375</v>
      </c>
      <c r="C112" s="619">
        <v>2018</v>
      </c>
      <c r="D112" s="620">
        <v>0</v>
      </c>
      <c r="E112" s="571">
        <v>0</v>
      </c>
      <c r="F112" s="648">
        <v>0</v>
      </c>
      <c r="G112" s="648">
        <v>0</v>
      </c>
      <c r="H112" s="572">
        <v>0</v>
      </c>
      <c r="I112" s="1005">
        <v>0</v>
      </c>
      <c r="J112" s="647">
        <v>0</v>
      </c>
      <c r="K112" s="647"/>
      <c r="L112" s="1006"/>
      <c r="M112" s="647">
        <v>0</v>
      </c>
      <c r="N112" s="1006"/>
      <c r="O112" s="647">
        <v>0</v>
      </c>
      <c r="P112" s="647">
        <v>0</v>
      </c>
    </row>
    <row r="113" spans="1:16">
      <c r="A113" s="588"/>
      <c r="B113" s="598" t="s">
        <v>375</v>
      </c>
      <c r="C113" s="619">
        <v>2019</v>
      </c>
      <c r="D113" s="620">
        <v>0</v>
      </c>
      <c r="E113" s="571">
        <v>0</v>
      </c>
      <c r="F113" s="648">
        <v>0</v>
      </c>
      <c r="G113" s="648">
        <v>0</v>
      </c>
      <c r="H113" s="572">
        <v>0</v>
      </c>
      <c r="I113" s="1005">
        <v>0</v>
      </c>
      <c r="J113" s="647">
        <v>0</v>
      </c>
      <c r="K113" s="647"/>
      <c r="L113" s="1006"/>
      <c r="M113" s="647">
        <v>0</v>
      </c>
      <c r="N113" s="1006"/>
      <c r="O113" s="647">
        <v>0</v>
      </c>
      <c r="P113" s="647">
        <v>0</v>
      </c>
    </row>
    <row r="114" spans="1:16">
      <c r="A114" s="588"/>
      <c r="B114" s="598" t="s">
        <v>375</v>
      </c>
      <c r="C114" s="619">
        <v>2020</v>
      </c>
      <c r="D114" s="620">
        <v>0</v>
      </c>
      <c r="E114" s="571">
        <v>0</v>
      </c>
      <c r="F114" s="648">
        <v>0</v>
      </c>
      <c r="G114" s="648">
        <v>0</v>
      </c>
      <c r="H114" s="572">
        <v>0</v>
      </c>
      <c r="I114" s="1005">
        <v>0</v>
      </c>
      <c r="J114" s="647">
        <v>0</v>
      </c>
      <c r="K114" s="647"/>
      <c r="L114" s="1006"/>
      <c r="M114" s="647">
        <v>0</v>
      </c>
      <c r="N114" s="1006"/>
      <c r="O114" s="647">
        <v>0</v>
      </c>
      <c r="P114" s="647">
        <v>0</v>
      </c>
    </row>
    <row r="115" spans="1:16">
      <c r="A115" s="588"/>
      <c r="B115" s="598" t="s">
        <v>375</v>
      </c>
      <c r="C115" s="619">
        <v>2021</v>
      </c>
      <c r="D115" s="620">
        <v>0</v>
      </c>
      <c r="E115" s="571">
        <v>0</v>
      </c>
      <c r="F115" s="648">
        <v>0</v>
      </c>
      <c r="G115" s="648">
        <v>0</v>
      </c>
      <c r="H115" s="572">
        <v>0</v>
      </c>
      <c r="I115" s="1005">
        <v>0</v>
      </c>
      <c r="J115" s="647">
        <v>0</v>
      </c>
      <c r="K115" s="647"/>
      <c r="L115" s="1006"/>
      <c r="M115" s="647">
        <v>0</v>
      </c>
      <c r="N115" s="1006"/>
      <c r="O115" s="647">
        <v>0</v>
      </c>
      <c r="P115" s="647">
        <v>0</v>
      </c>
    </row>
    <row r="116" spans="1:16">
      <c r="A116" s="588"/>
      <c r="B116" s="598" t="s">
        <v>375</v>
      </c>
      <c r="C116" s="619">
        <v>2022</v>
      </c>
      <c r="D116" s="620">
        <v>0</v>
      </c>
      <c r="E116" s="571">
        <v>0</v>
      </c>
      <c r="F116" s="648">
        <v>0</v>
      </c>
      <c r="G116" s="648">
        <v>0</v>
      </c>
      <c r="H116" s="572">
        <v>0</v>
      </c>
      <c r="I116" s="1005">
        <v>0</v>
      </c>
      <c r="J116" s="647">
        <v>0</v>
      </c>
      <c r="K116" s="647"/>
      <c r="L116" s="1006"/>
      <c r="M116" s="647">
        <v>0</v>
      </c>
      <c r="N116" s="1006"/>
      <c r="O116" s="647">
        <v>0</v>
      </c>
      <c r="P116" s="647">
        <v>0</v>
      </c>
    </row>
    <row r="117" spans="1:16">
      <c r="A117" s="588"/>
      <c r="B117" s="598" t="s">
        <v>375</v>
      </c>
      <c r="C117" s="619">
        <v>2023</v>
      </c>
      <c r="D117" s="620">
        <v>0</v>
      </c>
      <c r="E117" s="571">
        <v>0</v>
      </c>
      <c r="F117" s="648">
        <v>0</v>
      </c>
      <c r="G117" s="648">
        <v>0</v>
      </c>
      <c r="H117" s="572">
        <v>0</v>
      </c>
      <c r="I117" s="1005">
        <v>0</v>
      </c>
      <c r="J117" s="647">
        <v>0</v>
      </c>
      <c r="K117" s="647"/>
      <c r="L117" s="1006"/>
      <c r="M117" s="647">
        <v>0</v>
      </c>
      <c r="N117" s="1006"/>
      <c r="O117" s="647">
        <v>0</v>
      </c>
      <c r="P117" s="647">
        <v>0</v>
      </c>
    </row>
    <row r="118" spans="1:16">
      <c r="A118" s="588"/>
      <c r="B118" s="598" t="s">
        <v>375</v>
      </c>
      <c r="C118" s="619">
        <v>2024</v>
      </c>
      <c r="D118" s="620">
        <v>0</v>
      </c>
      <c r="E118" s="571">
        <v>0</v>
      </c>
      <c r="F118" s="648">
        <v>0</v>
      </c>
      <c r="G118" s="648">
        <v>0</v>
      </c>
      <c r="H118" s="572">
        <v>0</v>
      </c>
      <c r="I118" s="1005">
        <v>0</v>
      </c>
      <c r="J118" s="647">
        <v>0</v>
      </c>
      <c r="K118" s="647"/>
      <c r="L118" s="1006"/>
      <c r="M118" s="647">
        <v>0</v>
      </c>
      <c r="N118" s="1006"/>
      <c r="O118" s="647">
        <v>0</v>
      </c>
      <c r="P118" s="647">
        <v>0</v>
      </c>
    </row>
    <row r="119" spans="1:16">
      <c r="A119" s="588"/>
      <c r="B119" s="598" t="s">
        <v>375</v>
      </c>
      <c r="C119" s="619">
        <v>2025</v>
      </c>
      <c r="D119" s="620">
        <v>0</v>
      </c>
      <c r="E119" s="571">
        <v>0</v>
      </c>
      <c r="F119" s="648">
        <v>0</v>
      </c>
      <c r="G119" s="648">
        <v>0</v>
      </c>
      <c r="H119" s="572">
        <v>0</v>
      </c>
      <c r="I119" s="1005">
        <v>0</v>
      </c>
      <c r="J119" s="647">
        <v>0</v>
      </c>
      <c r="K119" s="647"/>
      <c r="L119" s="1006"/>
      <c r="M119" s="647">
        <v>0</v>
      </c>
      <c r="N119" s="1006"/>
      <c r="O119" s="647">
        <v>0</v>
      </c>
      <c r="P119" s="647">
        <v>0</v>
      </c>
    </row>
    <row r="120" spans="1:16">
      <c r="A120" s="588"/>
      <c r="B120" s="598" t="s">
        <v>375</v>
      </c>
      <c r="C120" s="619">
        <v>2026</v>
      </c>
      <c r="D120" s="620">
        <v>0</v>
      </c>
      <c r="E120" s="571">
        <v>0</v>
      </c>
      <c r="F120" s="648">
        <v>0</v>
      </c>
      <c r="G120" s="648">
        <v>0</v>
      </c>
      <c r="H120" s="572">
        <v>0</v>
      </c>
      <c r="I120" s="1005">
        <v>0</v>
      </c>
      <c r="J120" s="647">
        <v>0</v>
      </c>
      <c r="K120" s="647"/>
      <c r="L120" s="1006"/>
      <c r="M120" s="647">
        <v>0</v>
      </c>
      <c r="N120" s="1006"/>
      <c r="O120" s="647">
        <v>0</v>
      </c>
      <c r="P120" s="647">
        <v>0</v>
      </c>
    </row>
    <row r="121" spans="1:16">
      <c r="B121" s="598" t="s">
        <v>375</v>
      </c>
      <c r="C121" s="619">
        <v>2027</v>
      </c>
      <c r="D121" s="620">
        <v>0</v>
      </c>
      <c r="E121" s="571">
        <v>0</v>
      </c>
      <c r="F121" s="648">
        <v>0</v>
      </c>
      <c r="G121" s="648">
        <v>0</v>
      </c>
      <c r="H121" s="572">
        <v>0</v>
      </c>
      <c r="I121" s="1005">
        <v>0</v>
      </c>
      <c r="J121" s="647">
        <v>0</v>
      </c>
      <c r="K121" s="647"/>
      <c r="L121" s="1006"/>
      <c r="M121" s="647">
        <v>0</v>
      </c>
      <c r="N121" s="1006"/>
      <c r="O121" s="647">
        <v>0</v>
      </c>
      <c r="P121" s="647">
        <v>0</v>
      </c>
    </row>
    <row r="122" spans="1:16">
      <c r="B122" s="598" t="s">
        <v>375</v>
      </c>
      <c r="C122" s="619">
        <v>2028</v>
      </c>
      <c r="D122" s="620">
        <v>0</v>
      </c>
      <c r="E122" s="571">
        <v>0</v>
      </c>
      <c r="F122" s="648">
        <v>0</v>
      </c>
      <c r="G122" s="648">
        <v>0</v>
      </c>
      <c r="H122" s="572">
        <v>0</v>
      </c>
      <c r="I122" s="1005">
        <v>0</v>
      </c>
      <c r="J122" s="647">
        <v>0</v>
      </c>
      <c r="K122" s="647"/>
      <c r="L122" s="1006"/>
      <c r="M122" s="647">
        <v>0</v>
      </c>
      <c r="N122" s="1006"/>
      <c r="O122" s="647">
        <v>0</v>
      </c>
      <c r="P122" s="647">
        <v>0</v>
      </c>
    </row>
    <row r="123" spans="1:16">
      <c r="B123" s="598" t="s">
        <v>375</v>
      </c>
      <c r="C123" s="619">
        <v>2029</v>
      </c>
      <c r="D123" s="620">
        <v>0</v>
      </c>
      <c r="E123" s="571">
        <v>0</v>
      </c>
      <c r="F123" s="648">
        <v>0</v>
      </c>
      <c r="G123" s="648">
        <v>0</v>
      </c>
      <c r="H123" s="572">
        <v>0</v>
      </c>
      <c r="I123" s="1005">
        <v>0</v>
      </c>
      <c r="J123" s="647">
        <v>0</v>
      </c>
      <c r="K123" s="647"/>
      <c r="L123" s="1006"/>
      <c r="M123" s="647">
        <v>0</v>
      </c>
      <c r="N123" s="1006"/>
      <c r="O123" s="647">
        <v>0</v>
      </c>
      <c r="P123" s="647">
        <v>0</v>
      </c>
    </row>
    <row r="124" spans="1:16">
      <c r="B124" s="598" t="s">
        <v>375</v>
      </c>
      <c r="C124" s="619">
        <v>2030</v>
      </c>
      <c r="D124" s="620">
        <v>0</v>
      </c>
      <c r="E124" s="571">
        <v>0</v>
      </c>
      <c r="F124" s="648">
        <v>0</v>
      </c>
      <c r="G124" s="648">
        <v>0</v>
      </c>
      <c r="H124" s="572">
        <v>0</v>
      </c>
      <c r="I124" s="1005">
        <v>0</v>
      </c>
      <c r="J124" s="647">
        <v>0</v>
      </c>
      <c r="K124" s="647"/>
      <c r="L124" s="1006"/>
      <c r="M124" s="647">
        <v>0</v>
      </c>
      <c r="N124" s="1006"/>
      <c r="O124" s="647">
        <v>0</v>
      </c>
      <c r="P124" s="647">
        <v>0</v>
      </c>
    </row>
    <row r="125" spans="1:16">
      <c r="B125" s="598" t="s">
        <v>375</v>
      </c>
      <c r="C125" s="619">
        <v>2031</v>
      </c>
      <c r="D125" s="620">
        <v>0</v>
      </c>
      <c r="E125" s="571">
        <v>0</v>
      </c>
      <c r="F125" s="648">
        <v>0</v>
      </c>
      <c r="G125" s="648">
        <v>0</v>
      </c>
      <c r="H125" s="572">
        <v>0</v>
      </c>
      <c r="I125" s="1005">
        <v>0</v>
      </c>
      <c r="J125" s="647">
        <v>0</v>
      </c>
      <c r="K125" s="647"/>
      <c r="L125" s="1006"/>
      <c r="M125" s="647">
        <v>0</v>
      </c>
      <c r="N125" s="1006"/>
      <c r="O125" s="647">
        <v>0</v>
      </c>
      <c r="P125" s="647">
        <v>0</v>
      </c>
    </row>
    <row r="126" spans="1:16">
      <c r="B126" s="598" t="s">
        <v>375</v>
      </c>
      <c r="C126" s="619">
        <v>2032</v>
      </c>
      <c r="D126" s="620">
        <v>0</v>
      </c>
      <c r="E126" s="571">
        <v>0</v>
      </c>
      <c r="F126" s="648">
        <v>0</v>
      </c>
      <c r="G126" s="648">
        <v>0</v>
      </c>
      <c r="H126" s="572">
        <v>0</v>
      </c>
      <c r="I126" s="1005">
        <v>0</v>
      </c>
      <c r="J126" s="647">
        <v>0</v>
      </c>
      <c r="K126" s="647"/>
      <c r="L126" s="1006"/>
      <c r="M126" s="647">
        <v>0</v>
      </c>
      <c r="N126" s="1006"/>
      <c r="O126" s="647">
        <v>0</v>
      </c>
      <c r="P126" s="647">
        <v>0</v>
      </c>
    </row>
    <row r="127" spans="1:16">
      <c r="B127" s="598" t="s">
        <v>375</v>
      </c>
      <c r="C127" s="619">
        <v>2033</v>
      </c>
      <c r="D127" s="620">
        <v>0</v>
      </c>
      <c r="E127" s="571">
        <v>0</v>
      </c>
      <c r="F127" s="648">
        <v>0</v>
      </c>
      <c r="G127" s="648">
        <v>0</v>
      </c>
      <c r="H127" s="572">
        <v>0</v>
      </c>
      <c r="I127" s="1005">
        <v>0</v>
      </c>
      <c r="J127" s="647">
        <v>0</v>
      </c>
      <c r="K127" s="647"/>
      <c r="L127" s="1006"/>
      <c r="M127" s="647">
        <v>0</v>
      </c>
      <c r="N127" s="1006"/>
      <c r="O127" s="647">
        <v>0</v>
      </c>
      <c r="P127" s="647">
        <v>0</v>
      </c>
    </row>
    <row r="128" spans="1:16">
      <c r="B128" s="598" t="s">
        <v>375</v>
      </c>
      <c r="C128" s="619">
        <v>2034</v>
      </c>
      <c r="D128" s="620">
        <v>0</v>
      </c>
      <c r="E128" s="571">
        <v>0</v>
      </c>
      <c r="F128" s="648">
        <v>0</v>
      </c>
      <c r="G128" s="648">
        <v>0</v>
      </c>
      <c r="H128" s="572">
        <v>0</v>
      </c>
      <c r="I128" s="1005">
        <v>0</v>
      </c>
      <c r="J128" s="647">
        <v>0</v>
      </c>
      <c r="K128" s="647"/>
      <c r="L128" s="1006"/>
      <c r="M128" s="647">
        <v>0</v>
      </c>
      <c r="N128" s="1006"/>
      <c r="O128" s="647">
        <v>0</v>
      </c>
      <c r="P128" s="647">
        <v>0</v>
      </c>
    </row>
    <row r="129" spans="2:18">
      <c r="B129" s="598" t="s">
        <v>375</v>
      </c>
      <c r="C129" s="619">
        <v>2035</v>
      </c>
      <c r="D129" s="620">
        <v>0</v>
      </c>
      <c r="E129" s="571">
        <v>0</v>
      </c>
      <c r="F129" s="648">
        <v>0</v>
      </c>
      <c r="G129" s="648">
        <v>0</v>
      </c>
      <c r="H129" s="572">
        <v>0</v>
      </c>
      <c r="I129" s="1005">
        <v>0</v>
      </c>
      <c r="J129" s="647">
        <v>0</v>
      </c>
      <c r="K129" s="647"/>
      <c r="L129" s="1006"/>
      <c r="M129" s="647">
        <v>0</v>
      </c>
      <c r="N129" s="1006"/>
      <c r="O129" s="647">
        <v>0</v>
      </c>
      <c r="P129" s="647">
        <v>0</v>
      </c>
    </row>
    <row r="130" spans="2:18">
      <c r="B130" s="598" t="s">
        <v>375</v>
      </c>
      <c r="C130" s="619">
        <v>2036</v>
      </c>
      <c r="D130" s="620">
        <v>0</v>
      </c>
      <c r="E130" s="571">
        <v>0</v>
      </c>
      <c r="F130" s="648">
        <v>0</v>
      </c>
      <c r="G130" s="648">
        <v>0</v>
      </c>
      <c r="H130" s="572">
        <v>0</v>
      </c>
      <c r="I130" s="1005">
        <v>0</v>
      </c>
      <c r="J130" s="647">
        <v>0</v>
      </c>
      <c r="K130" s="647"/>
      <c r="L130" s="1006"/>
      <c r="M130" s="647">
        <v>0</v>
      </c>
      <c r="N130" s="1006"/>
      <c r="O130" s="647">
        <v>0</v>
      </c>
      <c r="P130" s="647">
        <v>0</v>
      </c>
    </row>
    <row r="131" spans="2:18">
      <c r="B131" s="598" t="s">
        <v>375</v>
      </c>
      <c r="C131" s="619">
        <v>2037</v>
      </c>
      <c r="D131" s="620">
        <v>0</v>
      </c>
      <c r="E131" s="571">
        <v>0</v>
      </c>
      <c r="F131" s="648">
        <v>0</v>
      </c>
      <c r="G131" s="648">
        <v>0</v>
      </c>
      <c r="H131" s="572">
        <v>0</v>
      </c>
      <c r="I131" s="1005">
        <v>0</v>
      </c>
      <c r="J131" s="647">
        <v>0</v>
      </c>
      <c r="K131" s="647"/>
      <c r="L131" s="1006"/>
      <c r="M131" s="647">
        <v>0</v>
      </c>
      <c r="N131" s="1006"/>
      <c r="O131" s="647">
        <v>0</v>
      </c>
      <c r="P131" s="647">
        <v>0</v>
      </c>
    </row>
    <row r="132" spans="2:18">
      <c r="B132" s="598" t="s">
        <v>375</v>
      </c>
      <c r="C132" s="619">
        <v>2038</v>
      </c>
      <c r="D132" s="620">
        <v>0</v>
      </c>
      <c r="E132" s="571">
        <v>0</v>
      </c>
      <c r="F132" s="648">
        <v>0</v>
      </c>
      <c r="G132" s="648">
        <v>0</v>
      </c>
      <c r="H132" s="572">
        <v>0</v>
      </c>
      <c r="I132" s="1005">
        <v>0</v>
      </c>
      <c r="J132" s="647">
        <v>0</v>
      </c>
      <c r="K132" s="647"/>
      <c r="L132" s="1006"/>
      <c r="M132" s="647">
        <v>0</v>
      </c>
      <c r="N132" s="1006"/>
      <c r="O132" s="647">
        <v>0</v>
      </c>
      <c r="P132" s="647">
        <v>0</v>
      </c>
    </row>
    <row r="133" spans="2:18">
      <c r="B133" s="598" t="s">
        <v>375</v>
      </c>
      <c r="C133" s="619">
        <v>2039</v>
      </c>
      <c r="D133" s="620">
        <v>0</v>
      </c>
      <c r="E133" s="571">
        <v>0</v>
      </c>
      <c r="F133" s="648">
        <v>0</v>
      </c>
      <c r="G133" s="648">
        <v>0</v>
      </c>
      <c r="H133" s="572">
        <v>0</v>
      </c>
      <c r="I133" s="1005">
        <v>0</v>
      </c>
      <c r="J133" s="647">
        <v>0</v>
      </c>
      <c r="K133" s="647"/>
      <c r="L133" s="1006"/>
      <c r="M133" s="647">
        <v>0</v>
      </c>
      <c r="N133" s="1006"/>
      <c r="O133" s="647">
        <v>0</v>
      </c>
      <c r="P133" s="647">
        <v>0</v>
      </c>
    </row>
    <row r="134" spans="2:18">
      <c r="B134" s="598" t="s">
        <v>375</v>
      </c>
      <c r="C134" s="619">
        <v>2040</v>
      </c>
      <c r="D134" s="620">
        <v>0</v>
      </c>
      <c r="E134" s="571">
        <v>0</v>
      </c>
      <c r="F134" s="648">
        <v>0</v>
      </c>
      <c r="G134" s="648">
        <v>0</v>
      </c>
      <c r="H134" s="572">
        <v>0</v>
      </c>
      <c r="I134" s="1005">
        <v>0</v>
      </c>
      <c r="J134" s="647">
        <v>0</v>
      </c>
      <c r="K134" s="647"/>
      <c r="L134" s="1006"/>
      <c r="M134" s="647">
        <v>0</v>
      </c>
      <c r="N134" s="1006"/>
      <c r="O134" s="647">
        <v>0</v>
      </c>
      <c r="P134" s="647">
        <v>0</v>
      </c>
      <c r="R134" s="362"/>
    </row>
    <row r="135" spans="2:18">
      <c r="B135" s="598" t="s">
        <v>375</v>
      </c>
      <c r="C135" s="619">
        <v>2041</v>
      </c>
      <c r="D135" s="620">
        <v>0</v>
      </c>
      <c r="E135" s="571">
        <v>0</v>
      </c>
      <c r="F135" s="648">
        <v>0</v>
      </c>
      <c r="G135" s="648">
        <v>0</v>
      </c>
      <c r="H135" s="572">
        <v>0</v>
      </c>
      <c r="I135" s="1005">
        <v>0</v>
      </c>
      <c r="J135" s="647">
        <v>0</v>
      </c>
      <c r="K135" s="647"/>
      <c r="L135" s="1006"/>
      <c r="M135" s="647">
        <v>0</v>
      </c>
      <c r="N135" s="1006"/>
      <c r="O135" s="647">
        <v>0</v>
      </c>
      <c r="P135" s="647">
        <v>0</v>
      </c>
      <c r="R135" s="38"/>
    </row>
    <row r="136" spans="2:18">
      <c r="B136" s="598" t="s">
        <v>375</v>
      </c>
      <c r="C136" s="619">
        <v>2042</v>
      </c>
      <c r="D136" s="620">
        <v>0</v>
      </c>
      <c r="E136" s="571">
        <v>0</v>
      </c>
      <c r="F136" s="648">
        <v>0</v>
      </c>
      <c r="G136" s="648">
        <v>0</v>
      </c>
      <c r="H136" s="572">
        <v>0</v>
      </c>
      <c r="I136" s="1005">
        <v>0</v>
      </c>
      <c r="J136" s="647">
        <v>0</v>
      </c>
      <c r="K136" s="647"/>
      <c r="L136" s="1006"/>
      <c r="M136" s="647">
        <v>0</v>
      </c>
      <c r="N136" s="1006"/>
      <c r="O136" s="647">
        <v>0</v>
      </c>
      <c r="P136" s="647">
        <v>0</v>
      </c>
      <c r="R136" s="38"/>
    </row>
    <row r="137" spans="2:18">
      <c r="B137" s="598" t="s">
        <v>375</v>
      </c>
      <c r="C137" s="619">
        <v>2043</v>
      </c>
      <c r="D137" s="620">
        <v>0</v>
      </c>
      <c r="E137" s="571">
        <v>0</v>
      </c>
      <c r="F137" s="648">
        <v>0</v>
      </c>
      <c r="G137" s="648">
        <v>0</v>
      </c>
      <c r="H137" s="572">
        <v>0</v>
      </c>
      <c r="I137" s="1005">
        <v>0</v>
      </c>
      <c r="J137" s="647">
        <v>0</v>
      </c>
      <c r="K137" s="647"/>
      <c r="L137" s="1006"/>
      <c r="M137" s="647">
        <v>0</v>
      </c>
      <c r="N137" s="1006"/>
      <c r="O137" s="647">
        <v>0</v>
      </c>
      <c r="P137" s="647">
        <v>0</v>
      </c>
      <c r="R137" s="38"/>
    </row>
    <row r="138" spans="2:18">
      <c r="B138" s="598" t="s">
        <v>375</v>
      </c>
      <c r="C138" s="619">
        <v>2044</v>
      </c>
      <c r="D138" s="620">
        <v>0</v>
      </c>
      <c r="E138" s="571">
        <v>0</v>
      </c>
      <c r="F138" s="648">
        <v>0</v>
      </c>
      <c r="G138" s="648">
        <v>0</v>
      </c>
      <c r="H138" s="572">
        <v>0</v>
      </c>
      <c r="I138" s="1005">
        <v>0</v>
      </c>
      <c r="J138" s="647">
        <v>0</v>
      </c>
      <c r="K138" s="647"/>
      <c r="L138" s="1006"/>
      <c r="M138" s="647">
        <v>0</v>
      </c>
      <c r="N138" s="1006"/>
      <c r="O138" s="647">
        <v>0</v>
      </c>
      <c r="P138" s="647">
        <v>0</v>
      </c>
      <c r="R138" s="38"/>
    </row>
    <row r="139" spans="2:18">
      <c r="B139" s="598" t="s">
        <v>375</v>
      </c>
      <c r="C139" s="619">
        <v>2045</v>
      </c>
      <c r="D139" s="620">
        <v>0</v>
      </c>
      <c r="E139" s="571">
        <v>0</v>
      </c>
      <c r="F139" s="648">
        <v>0</v>
      </c>
      <c r="G139" s="648">
        <v>0</v>
      </c>
      <c r="H139" s="572">
        <v>0</v>
      </c>
      <c r="I139" s="1005">
        <v>0</v>
      </c>
      <c r="J139" s="647">
        <v>0</v>
      </c>
      <c r="K139" s="647"/>
      <c r="L139" s="1006"/>
      <c r="M139" s="647">
        <v>0</v>
      </c>
      <c r="N139" s="1006"/>
      <c r="O139" s="647">
        <v>0</v>
      </c>
      <c r="P139" s="647">
        <v>0</v>
      </c>
      <c r="R139" s="38"/>
    </row>
    <row r="140" spans="2:18">
      <c r="B140" s="598" t="s">
        <v>375</v>
      </c>
      <c r="C140" s="619">
        <v>2046</v>
      </c>
      <c r="D140" s="620">
        <v>0</v>
      </c>
      <c r="E140" s="571">
        <v>0</v>
      </c>
      <c r="F140" s="648">
        <v>0</v>
      </c>
      <c r="G140" s="648">
        <v>0</v>
      </c>
      <c r="H140" s="572">
        <v>0</v>
      </c>
      <c r="I140" s="1005">
        <v>0</v>
      </c>
      <c r="J140" s="647">
        <v>0</v>
      </c>
      <c r="K140" s="647"/>
      <c r="L140" s="1006"/>
      <c r="M140" s="647">
        <v>0</v>
      </c>
      <c r="N140" s="1006"/>
      <c r="O140" s="647">
        <v>0</v>
      </c>
      <c r="P140" s="647">
        <v>0</v>
      </c>
      <c r="R140" s="38"/>
    </row>
    <row r="141" spans="2:18">
      <c r="B141" s="598" t="s">
        <v>375</v>
      </c>
      <c r="C141" s="619">
        <v>2047</v>
      </c>
      <c r="D141" s="620">
        <v>0</v>
      </c>
      <c r="E141" s="571">
        <v>0</v>
      </c>
      <c r="F141" s="648">
        <v>0</v>
      </c>
      <c r="G141" s="648">
        <v>0</v>
      </c>
      <c r="H141" s="572">
        <v>0</v>
      </c>
      <c r="I141" s="1005">
        <v>0</v>
      </c>
      <c r="J141" s="647">
        <v>0</v>
      </c>
      <c r="K141" s="647"/>
      <c r="L141" s="1006"/>
      <c r="M141" s="647">
        <v>0</v>
      </c>
      <c r="N141" s="1006"/>
      <c r="O141" s="647">
        <v>0</v>
      </c>
      <c r="P141" s="647">
        <v>0</v>
      </c>
      <c r="R141" s="38"/>
    </row>
    <row r="142" spans="2:18">
      <c r="B142" s="598" t="s">
        <v>375</v>
      </c>
      <c r="C142" s="619">
        <v>2048</v>
      </c>
      <c r="D142" s="620">
        <v>0</v>
      </c>
      <c r="E142" s="571">
        <v>0</v>
      </c>
      <c r="F142" s="648">
        <v>0</v>
      </c>
      <c r="G142" s="648">
        <v>0</v>
      </c>
      <c r="H142" s="572">
        <v>0</v>
      </c>
      <c r="I142" s="1005">
        <v>0</v>
      </c>
      <c r="J142" s="647">
        <v>0</v>
      </c>
      <c r="K142" s="647"/>
      <c r="L142" s="1006"/>
      <c r="M142" s="647">
        <v>0</v>
      </c>
      <c r="N142" s="1006"/>
      <c r="O142" s="647">
        <v>0</v>
      </c>
      <c r="P142" s="647">
        <v>0</v>
      </c>
      <c r="R142" s="38"/>
    </row>
    <row r="143" spans="2:18">
      <c r="B143" s="598" t="s">
        <v>375</v>
      </c>
      <c r="C143" s="619">
        <v>2049</v>
      </c>
      <c r="D143" s="620">
        <v>0</v>
      </c>
      <c r="E143" s="571">
        <v>0</v>
      </c>
      <c r="F143" s="648">
        <v>0</v>
      </c>
      <c r="G143" s="648">
        <v>0</v>
      </c>
      <c r="H143" s="572">
        <v>0</v>
      </c>
      <c r="I143" s="1005">
        <v>0</v>
      </c>
      <c r="J143" s="647">
        <v>0</v>
      </c>
      <c r="K143" s="647"/>
      <c r="L143" s="1006"/>
      <c r="M143" s="647">
        <v>0</v>
      </c>
      <c r="N143" s="1006"/>
      <c r="O143" s="647">
        <v>0</v>
      </c>
      <c r="P143" s="647">
        <v>0</v>
      </c>
      <c r="R143" s="38"/>
    </row>
    <row r="144" spans="2:18">
      <c r="B144" s="598" t="s">
        <v>375</v>
      </c>
      <c r="C144" s="619">
        <v>2050</v>
      </c>
      <c r="D144" s="620">
        <v>0</v>
      </c>
      <c r="E144" s="571">
        <v>0</v>
      </c>
      <c r="F144" s="648">
        <v>0</v>
      </c>
      <c r="G144" s="648">
        <v>0</v>
      </c>
      <c r="H144" s="572">
        <v>0</v>
      </c>
      <c r="I144" s="1005">
        <v>0</v>
      </c>
      <c r="J144" s="647">
        <v>0</v>
      </c>
      <c r="K144" s="647"/>
      <c r="L144" s="1006"/>
      <c r="M144" s="647">
        <v>0</v>
      </c>
      <c r="N144" s="1006"/>
      <c r="O144" s="647">
        <v>0</v>
      </c>
      <c r="P144" s="647">
        <v>0</v>
      </c>
      <c r="R144" s="38"/>
    </row>
    <row r="145" spans="2:18">
      <c r="B145" s="598" t="s">
        <v>375</v>
      </c>
      <c r="C145" s="619">
        <v>2051</v>
      </c>
      <c r="D145" s="620">
        <v>0</v>
      </c>
      <c r="E145" s="571">
        <v>0</v>
      </c>
      <c r="F145" s="648">
        <v>0</v>
      </c>
      <c r="G145" s="648">
        <v>0</v>
      </c>
      <c r="H145" s="572">
        <v>0</v>
      </c>
      <c r="I145" s="1005">
        <v>0</v>
      </c>
      <c r="J145" s="647">
        <v>0</v>
      </c>
      <c r="K145" s="647"/>
      <c r="L145" s="1006"/>
      <c r="M145" s="647">
        <v>0</v>
      </c>
      <c r="N145" s="1006"/>
      <c r="O145" s="647">
        <v>0</v>
      </c>
      <c r="P145" s="647">
        <v>0</v>
      </c>
      <c r="R145" s="38"/>
    </row>
    <row r="146" spans="2:18">
      <c r="B146" s="598" t="s">
        <v>375</v>
      </c>
      <c r="C146" s="619">
        <v>2052</v>
      </c>
      <c r="D146" s="620">
        <v>0</v>
      </c>
      <c r="E146" s="571">
        <v>0</v>
      </c>
      <c r="F146" s="648">
        <v>0</v>
      </c>
      <c r="G146" s="648">
        <v>0</v>
      </c>
      <c r="H146" s="572">
        <v>0</v>
      </c>
      <c r="I146" s="1005">
        <v>0</v>
      </c>
      <c r="J146" s="647">
        <v>0</v>
      </c>
      <c r="K146" s="647"/>
      <c r="L146" s="1006"/>
      <c r="M146" s="647">
        <v>0</v>
      </c>
      <c r="N146" s="1006"/>
      <c r="O146" s="647">
        <v>0</v>
      </c>
      <c r="P146" s="647">
        <v>0</v>
      </c>
      <c r="R146" s="38"/>
    </row>
    <row r="147" spans="2:18">
      <c r="B147" s="598" t="s">
        <v>375</v>
      </c>
      <c r="C147" s="619">
        <v>2053</v>
      </c>
      <c r="D147" s="620">
        <v>0</v>
      </c>
      <c r="E147" s="571">
        <v>0</v>
      </c>
      <c r="F147" s="648">
        <v>0</v>
      </c>
      <c r="G147" s="648">
        <v>0</v>
      </c>
      <c r="H147" s="572">
        <v>0</v>
      </c>
      <c r="I147" s="1005">
        <v>0</v>
      </c>
      <c r="J147" s="647">
        <v>0</v>
      </c>
      <c r="K147" s="647"/>
      <c r="L147" s="1006"/>
      <c r="M147" s="647">
        <v>0</v>
      </c>
      <c r="N147" s="1006"/>
      <c r="O147" s="647">
        <v>0</v>
      </c>
      <c r="P147" s="647">
        <v>0</v>
      </c>
      <c r="R147" s="38"/>
    </row>
    <row r="148" spans="2:18">
      <c r="B148" s="598" t="s">
        <v>375</v>
      </c>
      <c r="C148" s="619">
        <v>2054</v>
      </c>
      <c r="D148" s="620">
        <v>0</v>
      </c>
      <c r="E148" s="571">
        <v>0</v>
      </c>
      <c r="F148" s="648">
        <v>0</v>
      </c>
      <c r="G148" s="648">
        <v>0</v>
      </c>
      <c r="H148" s="572">
        <v>0</v>
      </c>
      <c r="I148" s="1005">
        <v>0</v>
      </c>
      <c r="J148" s="647">
        <v>0</v>
      </c>
      <c r="K148" s="647"/>
      <c r="L148" s="1006"/>
      <c r="M148" s="647">
        <v>0</v>
      </c>
      <c r="N148" s="1006"/>
      <c r="O148" s="647">
        <v>0</v>
      </c>
      <c r="P148" s="647">
        <v>0</v>
      </c>
      <c r="R148" s="38"/>
    </row>
    <row r="149" spans="2:18">
      <c r="B149" s="598" t="s">
        <v>375</v>
      </c>
      <c r="C149" s="619">
        <v>2055</v>
      </c>
      <c r="D149" s="620">
        <v>0</v>
      </c>
      <c r="E149" s="571">
        <v>0</v>
      </c>
      <c r="F149" s="648">
        <v>0</v>
      </c>
      <c r="G149" s="648">
        <v>0</v>
      </c>
      <c r="H149" s="572">
        <v>0</v>
      </c>
      <c r="I149" s="1005">
        <v>0</v>
      </c>
      <c r="J149" s="647">
        <v>0</v>
      </c>
      <c r="K149" s="647"/>
      <c r="L149" s="1006"/>
      <c r="M149" s="647">
        <v>0</v>
      </c>
      <c r="N149" s="1006"/>
      <c r="O149" s="647">
        <v>0</v>
      </c>
      <c r="P149" s="647">
        <v>0</v>
      </c>
      <c r="R149" s="38"/>
    </row>
    <row r="150" spans="2:18">
      <c r="B150" s="598" t="s">
        <v>375</v>
      </c>
      <c r="C150" s="619">
        <v>2056</v>
      </c>
      <c r="D150" s="620">
        <v>0</v>
      </c>
      <c r="E150" s="571">
        <v>0</v>
      </c>
      <c r="F150" s="648">
        <v>0</v>
      </c>
      <c r="G150" s="648">
        <v>0</v>
      </c>
      <c r="H150" s="572">
        <v>0</v>
      </c>
      <c r="I150" s="1005">
        <v>0</v>
      </c>
      <c r="J150" s="647">
        <v>0</v>
      </c>
      <c r="K150" s="647"/>
      <c r="L150" s="1006"/>
      <c r="M150" s="647">
        <v>0</v>
      </c>
      <c r="N150" s="1006"/>
      <c r="O150" s="647">
        <v>0</v>
      </c>
      <c r="P150" s="647">
        <v>0</v>
      </c>
      <c r="R150" s="38"/>
    </row>
    <row r="151" spans="2:18">
      <c r="B151" s="598" t="s">
        <v>375</v>
      </c>
      <c r="C151" s="619">
        <v>2057</v>
      </c>
      <c r="D151" s="620">
        <v>0</v>
      </c>
      <c r="E151" s="571">
        <v>0</v>
      </c>
      <c r="F151" s="648">
        <v>0</v>
      </c>
      <c r="G151" s="648">
        <v>0</v>
      </c>
      <c r="H151" s="572">
        <v>0</v>
      </c>
      <c r="I151" s="1005">
        <v>0</v>
      </c>
      <c r="J151" s="647">
        <v>0</v>
      </c>
      <c r="K151" s="647"/>
      <c r="L151" s="1006"/>
      <c r="M151" s="647">
        <v>0</v>
      </c>
      <c r="N151" s="1006"/>
      <c r="O151" s="647">
        <v>0</v>
      </c>
      <c r="P151" s="647">
        <v>0</v>
      </c>
      <c r="R151" s="38"/>
    </row>
    <row r="152" spans="2:18">
      <c r="B152" s="598" t="s">
        <v>375</v>
      </c>
      <c r="C152" s="619">
        <v>2058</v>
      </c>
      <c r="D152" s="620">
        <v>0</v>
      </c>
      <c r="E152" s="571">
        <v>0</v>
      </c>
      <c r="F152" s="648">
        <v>0</v>
      </c>
      <c r="G152" s="648">
        <v>0</v>
      </c>
      <c r="H152" s="572">
        <v>0</v>
      </c>
      <c r="I152" s="1005">
        <v>0</v>
      </c>
      <c r="J152" s="647">
        <v>0</v>
      </c>
      <c r="K152" s="647"/>
      <c r="L152" s="1006"/>
      <c r="M152" s="647">
        <v>0</v>
      </c>
      <c r="N152" s="1006"/>
      <c r="O152" s="647">
        <v>0</v>
      </c>
      <c r="P152" s="647">
        <v>0</v>
      </c>
      <c r="R152" s="38"/>
    </row>
    <row r="153" spans="2:18">
      <c r="B153" s="598" t="s">
        <v>375</v>
      </c>
      <c r="C153" s="619">
        <v>2059</v>
      </c>
      <c r="D153" s="620">
        <v>0</v>
      </c>
      <c r="E153" s="571">
        <v>0</v>
      </c>
      <c r="F153" s="648">
        <v>0</v>
      </c>
      <c r="G153" s="648">
        <v>0</v>
      </c>
      <c r="H153" s="572">
        <v>0</v>
      </c>
      <c r="I153" s="1005">
        <v>0</v>
      </c>
      <c r="J153" s="647">
        <v>0</v>
      </c>
      <c r="K153" s="647"/>
      <c r="L153" s="1006"/>
      <c r="M153" s="647">
        <v>0</v>
      </c>
      <c r="N153" s="1006"/>
      <c r="O153" s="647">
        <v>0</v>
      </c>
      <c r="P153" s="647">
        <v>0</v>
      </c>
      <c r="R153" s="38"/>
    </row>
    <row r="154" spans="2:18">
      <c r="B154" s="598" t="s">
        <v>375</v>
      </c>
      <c r="C154" s="619">
        <v>2060</v>
      </c>
      <c r="D154" s="620">
        <v>0</v>
      </c>
      <c r="E154" s="571">
        <v>0</v>
      </c>
      <c r="F154" s="648">
        <v>0</v>
      </c>
      <c r="G154" s="648">
        <v>0</v>
      </c>
      <c r="H154" s="572">
        <v>0</v>
      </c>
      <c r="I154" s="1005">
        <v>0</v>
      </c>
      <c r="J154" s="647">
        <v>0</v>
      </c>
      <c r="K154" s="647"/>
      <c r="L154" s="1006"/>
      <c r="M154" s="647">
        <v>0</v>
      </c>
      <c r="N154" s="1006"/>
      <c r="O154" s="647">
        <v>0</v>
      </c>
      <c r="P154" s="647">
        <v>0</v>
      </c>
      <c r="R154" s="38"/>
    </row>
    <row r="155" spans="2:18">
      <c r="B155" s="598" t="s">
        <v>375</v>
      </c>
      <c r="C155" s="619">
        <v>2061</v>
      </c>
      <c r="D155" s="620">
        <v>0</v>
      </c>
      <c r="E155" s="571">
        <v>0</v>
      </c>
      <c r="F155" s="648">
        <v>0</v>
      </c>
      <c r="G155" s="648">
        <v>0</v>
      </c>
      <c r="H155" s="572">
        <v>0</v>
      </c>
      <c r="I155" s="1005">
        <v>0</v>
      </c>
      <c r="J155" s="647">
        <v>0</v>
      </c>
      <c r="K155" s="647"/>
      <c r="L155" s="1006"/>
      <c r="M155" s="647">
        <v>0</v>
      </c>
      <c r="N155" s="1006"/>
      <c r="O155" s="647">
        <v>0</v>
      </c>
      <c r="P155" s="647">
        <v>0</v>
      </c>
      <c r="R155" s="38"/>
    </row>
    <row r="156" spans="2:18">
      <c r="B156" s="598" t="s">
        <v>375</v>
      </c>
      <c r="C156" s="619">
        <v>2062</v>
      </c>
      <c r="D156" s="620">
        <v>0</v>
      </c>
      <c r="E156" s="571">
        <v>0</v>
      </c>
      <c r="F156" s="648">
        <v>0</v>
      </c>
      <c r="G156" s="648">
        <v>0</v>
      </c>
      <c r="H156" s="572">
        <v>0</v>
      </c>
      <c r="I156" s="1005">
        <v>0</v>
      </c>
      <c r="J156" s="647">
        <v>0</v>
      </c>
      <c r="K156" s="647"/>
      <c r="L156" s="1006"/>
      <c r="M156" s="647">
        <v>0</v>
      </c>
      <c r="N156" s="1006"/>
      <c r="O156" s="647">
        <v>0</v>
      </c>
      <c r="P156" s="647">
        <v>0</v>
      </c>
      <c r="R156" s="38"/>
    </row>
    <row r="157" spans="2:18">
      <c r="B157" s="598" t="s">
        <v>375</v>
      </c>
      <c r="C157" s="619">
        <v>2063</v>
      </c>
      <c r="D157" s="620">
        <v>0</v>
      </c>
      <c r="E157" s="571">
        <v>0</v>
      </c>
      <c r="F157" s="648">
        <v>0</v>
      </c>
      <c r="G157" s="648">
        <v>0</v>
      </c>
      <c r="H157" s="572">
        <v>0</v>
      </c>
      <c r="I157" s="1005">
        <v>0</v>
      </c>
      <c r="J157" s="647">
        <v>0</v>
      </c>
      <c r="K157" s="647"/>
      <c r="L157" s="1006"/>
      <c r="M157" s="647">
        <v>0</v>
      </c>
      <c r="N157" s="1006"/>
      <c r="O157" s="647">
        <v>0</v>
      </c>
      <c r="P157" s="647">
        <v>0</v>
      </c>
      <c r="R157" s="38"/>
    </row>
    <row r="158" spans="2:18">
      <c r="B158" s="598" t="s">
        <v>375</v>
      </c>
      <c r="C158" s="619">
        <v>2064</v>
      </c>
      <c r="D158" s="620">
        <v>0</v>
      </c>
      <c r="E158" s="571">
        <v>0</v>
      </c>
      <c r="F158" s="648">
        <v>0</v>
      </c>
      <c r="G158" s="648">
        <v>0</v>
      </c>
      <c r="H158" s="572">
        <v>0</v>
      </c>
      <c r="I158" s="1005">
        <v>0</v>
      </c>
      <c r="J158" s="647">
        <v>0</v>
      </c>
      <c r="K158" s="647"/>
      <c r="L158" s="1006"/>
      <c r="M158" s="647">
        <v>0</v>
      </c>
      <c r="N158" s="1006"/>
      <c r="O158" s="647">
        <v>0</v>
      </c>
      <c r="P158" s="647">
        <v>0</v>
      </c>
      <c r="R158" s="38"/>
    </row>
    <row r="159" spans="2:18">
      <c r="B159" s="598" t="s">
        <v>375</v>
      </c>
      <c r="C159" s="619">
        <v>2065</v>
      </c>
      <c r="D159" s="620">
        <v>0</v>
      </c>
      <c r="E159" s="571">
        <v>0</v>
      </c>
      <c r="F159" s="648">
        <v>0</v>
      </c>
      <c r="G159" s="648">
        <v>0</v>
      </c>
      <c r="H159" s="572">
        <v>0</v>
      </c>
      <c r="I159" s="1005">
        <v>0</v>
      </c>
      <c r="J159" s="647">
        <v>0</v>
      </c>
      <c r="K159" s="647"/>
      <c r="L159" s="1006"/>
      <c r="M159" s="647">
        <v>0</v>
      </c>
      <c r="N159" s="1006"/>
      <c r="O159" s="647">
        <v>0</v>
      </c>
      <c r="P159" s="647">
        <v>0</v>
      </c>
      <c r="R159" s="38"/>
    </row>
    <row r="160" spans="2:18">
      <c r="B160" s="598" t="s">
        <v>375</v>
      </c>
      <c r="C160" s="619">
        <v>2066</v>
      </c>
      <c r="D160" s="620">
        <v>0</v>
      </c>
      <c r="E160" s="571">
        <v>0</v>
      </c>
      <c r="F160" s="648">
        <v>0</v>
      </c>
      <c r="G160" s="648">
        <v>0</v>
      </c>
      <c r="H160" s="572">
        <v>0</v>
      </c>
      <c r="I160" s="1005">
        <v>0</v>
      </c>
      <c r="J160" s="647">
        <v>0</v>
      </c>
      <c r="K160" s="647"/>
      <c r="L160" s="1006"/>
      <c r="M160" s="647">
        <v>0</v>
      </c>
      <c r="N160" s="1006"/>
      <c r="O160" s="647">
        <v>0</v>
      </c>
      <c r="P160" s="647">
        <v>0</v>
      </c>
      <c r="R160" s="38"/>
    </row>
    <row r="161" spans="2:18">
      <c r="B161" s="598" t="s">
        <v>375</v>
      </c>
      <c r="C161" s="619">
        <v>2067</v>
      </c>
      <c r="D161" s="620">
        <v>0</v>
      </c>
      <c r="E161" s="571">
        <v>0</v>
      </c>
      <c r="F161" s="648">
        <v>0</v>
      </c>
      <c r="G161" s="648">
        <v>0</v>
      </c>
      <c r="H161" s="572">
        <v>0</v>
      </c>
      <c r="I161" s="1005">
        <v>0</v>
      </c>
      <c r="J161" s="647">
        <v>0</v>
      </c>
      <c r="K161" s="647"/>
      <c r="L161" s="1006"/>
      <c r="M161" s="647">
        <v>0</v>
      </c>
      <c r="N161" s="1006"/>
      <c r="O161" s="647">
        <v>0</v>
      </c>
      <c r="P161" s="647">
        <v>0</v>
      </c>
      <c r="R161" s="38"/>
    </row>
    <row r="162" spans="2:18" ht="13.5" thickBot="1">
      <c r="B162" s="598" t="s">
        <v>375</v>
      </c>
      <c r="C162" s="621">
        <v>2068</v>
      </c>
      <c r="D162" s="652">
        <v>0</v>
      </c>
      <c r="E162" s="983">
        <v>0</v>
      </c>
      <c r="F162" s="649">
        <v>0</v>
      </c>
      <c r="G162" s="649">
        <v>0</v>
      </c>
      <c r="H162" s="575">
        <v>0</v>
      </c>
      <c r="I162" s="1007">
        <v>0</v>
      </c>
      <c r="J162" s="650">
        <v>0</v>
      </c>
      <c r="K162" s="647"/>
      <c r="L162" s="1008"/>
      <c r="M162" s="650">
        <v>0</v>
      </c>
      <c r="N162" s="1008"/>
      <c r="O162" s="650">
        <v>0</v>
      </c>
      <c r="P162" s="650">
        <v>0</v>
      </c>
      <c r="R162" s="38"/>
    </row>
    <row r="163" spans="2:18">
      <c r="B163" s="588"/>
      <c r="C163" s="620" t="s">
        <v>529</v>
      </c>
      <c r="D163" s="526"/>
      <c r="E163" s="526">
        <v>1035552</v>
      </c>
      <c r="F163" s="526"/>
      <c r="G163" s="526"/>
      <c r="H163" s="526">
        <v>4670143.8157202108</v>
      </c>
      <c r="I163" s="526">
        <v>4670143.8157202108</v>
      </c>
      <c r="J163" s="526">
        <v>0</v>
      </c>
      <c r="K163" s="526"/>
      <c r="L163" s="526"/>
      <c r="M163" s="526"/>
      <c r="N163" s="526"/>
      <c r="O163" s="526"/>
      <c r="P163" s="588"/>
      <c r="R163" s="38"/>
    </row>
    <row r="164" spans="2:18">
      <c r="B164" s="588"/>
      <c r="C164" s="588" t="s">
        <v>1143</v>
      </c>
      <c r="D164" s="598"/>
      <c r="E164" s="588"/>
      <c r="F164" s="588"/>
      <c r="G164" s="588"/>
      <c r="H164" s="588"/>
      <c r="I164" s="589"/>
      <c r="J164" s="589"/>
      <c r="K164" s="526"/>
      <c r="L164" s="589"/>
      <c r="M164" s="589"/>
      <c r="N164" s="589"/>
      <c r="O164" s="589"/>
      <c r="P164" s="588"/>
      <c r="R164" s="38"/>
    </row>
    <row r="165" spans="2:18">
      <c r="B165" s="588"/>
      <c r="C165" s="588"/>
      <c r="D165" s="598"/>
      <c r="E165" s="588"/>
      <c r="F165" s="588"/>
      <c r="G165" s="588"/>
      <c r="H165" s="588"/>
      <c r="I165" s="589"/>
      <c r="J165" s="589"/>
      <c r="K165" s="526"/>
      <c r="L165" s="589"/>
      <c r="M165" s="589"/>
      <c r="N165" s="589"/>
      <c r="O165" s="589"/>
      <c r="P165" s="588"/>
      <c r="R165" s="38"/>
    </row>
    <row r="166" spans="2:18">
      <c r="B166" s="588"/>
      <c r="C166" s="1009" t="s">
        <v>1144</v>
      </c>
      <c r="D166" s="598"/>
      <c r="E166" s="588"/>
      <c r="F166" s="588"/>
      <c r="G166" s="588"/>
      <c r="H166" s="588"/>
      <c r="I166" s="589"/>
      <c r="J166" s="589"/>
      <c r="K166" s="526"/>
      <c r="L166" s="589"/>
      <c r="M166" s="589"/>
      <c r="N166" s="589"/>
      <c r="O166" s="589"/>
      <c r="P166" s="588"/>
      <c r="R166" s="38"/>
    </row>
    <row r="167" spans="2:18">
      <c r="B167" s="588"/>
      <c r="C167" s="607" t="s">
        <v>530</v>
      </c>
      <c r="D167" s="620"/>
      <c r="E167" s="620"/>
      <c r="F167" s="620"/>
      <c r="G167" s="620"/>
      <c r="H167" s="526"/>
      <c r="I167" s="526"/>
      <c r="J167" s="622"/>
      <c r="K167" s="622"/>
      <c r="L167" s="622"/>
      <c r="M167" s="622"/>
      <c r="N167" s="622"/>
      <c r="O167" s="622"/>
      <c r="P167" s="588"/>
      <c r="R167" s="38"/>
    </row>
    <row r="168" spans="2:18">
      <c r="B168" s="588"/>
      <c r="C168" s="607" t="s">
        <v>531</v>
      </c>
      <c r="D168" s="620"/>
      <c r="E168" s="620"/>
      <c r="F168" s="620"/>
      <c r="G168" s="620"/>
      <c r="H168" s="526"/>
      <c r="I168" s="526"/>
      <c r="J168" s="622"/>
      <c r="K168" s="622"/>
      <c r="L168" s="622"/>
      <c r="M168" s="622"/>
      <c r="N168" s="622"/>
      <c r="O168" s="622"/>
      <c r="P168" s="588"/>
    </row>
  </sheetData>
  <mergeCells count="8">
    <mergeCell ref="L9:P9"/>
    <mergeCell ref="L13:P14"/>
    <mergeCell ref="A1:I1"/>
    <mergeCell ref="A2:I2"/>
    <mergeCell ref="A3:I3"/>
    <mergeCell ref="A4:I4"/>
    <mergeCell ref="C6:I6"/>
    <mergeCell ref="L6:P8"/>
  </mergeCells>
  <printOptions horizontalCentered="1"/>
  <pageMargins left="0.25" right="0.25" top="0.75" bottom="0.25" header="0.25" footer="0.5"/>
  <pageSetup scale="41" fitToHeight="5" orientation="landscape" r:id="rId1"/>
  <headerFooter alignWithMargins="0">
    <oddHeader xml:space="preserve">&amp;R&amp;12AEP - SPP Formula Rate
TCOS - WS G
Page: &amp;P of &amp;N&amp;16
</oddHeader>
    <oddFooter xml:space="preserve">&amp;C &amp;R </oddFooter>
  </headerFooter>
  <rowBreaks count="1" manualBreakCount="1">
    <brk id="88" max="15" man="1"/>
  </rowBreaks>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showWhiteSpace="0" topLeftCell="A31" zoomScale="70" zoomScaleNormal="70" zoomScaleSheetLayoutView="75" zoomScalePageLayoutView="80" workbookViewId="0">
      <selection activeCell="O34" sqref="O34"/>
    </sheetView>
  </sheetViews>
  <sheetFormatPr defaultRowHeight="15"/>
  <cols>
    <col min="1" max="1" width="4.7109375" style="244" customWidth="1"/>
    <col min="2" max="2" width="7.42578125" style="244" customWidth="1"/>
    <col min="3" max="6" width="12.7109375" style="244" customWidth="1"/>
    <col min="7" max="7" width="17.140625" style="244" customWidth="1"/>
    <col min="8" max="9" width="12.7109375" style="244" customWidth="1"/>
    <col min="10" max="10" width="12" style="244" customWidth="1"/>
    <col min="11" max="11" width="16.42578125" style="244" bestFit="1" customWidth="1"/>
    <col min="12" max="12" width="22.140625" style="244" bestFit="1" customWidth="1"/>
    <col min="13" max="13" width="22.140625" style="273" bestFit="1" customWidth="1"/>
    <col min="14" max="14" width="8.42578125" style="244" customWidth="1"/>
    <col min="15" max="15" width="16.5703125" style="244" customWidth="1"/>
    <col min="16" max="38" width="12.7109375" style="244" customWidth="1"/>
    <col min="39" max="16384" width="9.140625" style="244"/>
  </cols>
  <sheetData>
    <row r="1" spans="1:22" ht="15.75">
      <c r="N1" s="423"/>
    </row>
    <row r="2" spans="1:22">
      <c r="A2" s="1556" t="str">
        <f>+'SWEPCO TCOS'!F3</f>
        <v xml:space="preserve">AEP West SPP Member Operating Companies </v>
      </c>
      <c r="B2" s="1556"/>
      <c r="C2" s="1556"/>
      <c r="D2" s="1556"/>
      <c r="E2" s="1556"/>
      <c r="F2" s="1556"/>
      <c r="G2" s="1556"/>
      <c r="H2" s="1556"/>
      <c r="I2" s="1556"/>
      <c r="J2" s="1556"/>
      <c r="K2" s="1556"/>
      <c r="L2" s="1556"/>
      <c r="M2" s="1556"/>
      <c r="N2" s="1556"/>
    </row>
    <row r="3" spans="1:22">
      <c r="A3" s="1594" t="str">
        <f>+'SWEPCO WS A RB Support '!A2:G2</f>
        <v xml:space="preserve">Actual / Projected 2019 Rate Year Cost of Service Formula Rate </v>
      </c>
      <c r="B3" s="1553"/>
      <c r="C3" s="1553"/>
      <c r="D3" s="1553"/>
      <c r="E3" s="1553"/>
      <c r="F3" s="1553"/>
      <c r="G3" s="1553"/>
      <c r="H3" s="1553"/>
      <c r="I3" s="1553"/>
      <c r="J3" s="1553"/>
      <c r="K3" s="1553"/>
      <c r="L3" s="1553"/>
      <c r="M3" s="1553"/>
      <c r="N3" s="1553"/>
    </row>
    <row r="4" spans="1:22" ht="15.75" customHeight="1">
      <c r="A4" s="1553" t="s">
        <v>1094</v>
      </c>
      <c r="B4" s="1553"/>
      <c r="C4" s="1553"/>
      <c r="D4" s="1553"/>
      <c r="E4" s="1553"/>
      <c r="F4" s="1553"/>
      <c r="G4" s="1553"/>
      <c r="H4" s="1553"/>
      <c r="I4" s="1553"/>
      <c r="J4" s="1553"/>
      <c r="K4" s="1553"/>
      <c r="L4" s="1553"/>
      <c r="M4" s="1553"/>
      <c r="N4" s="1553"/>
      <c r="O4" s="420"/>
      <c r="P4" s="420"/>
      <c r="Q4" s="420"/>
      <c r="R4" s="420"/>
      <c r="S4" s="420"/>
      <c r="T4" s="420"/>
      <c r="U4" s="420"/>
    </row>
    <row r="5" spans="1:22" ht="15.75">
      <c r="A5" s="1574" t="str">
        <f>+'SWEPCO TCOS'!F7</f>
        <v>SOUTHWESTERN ELECTRIC POWER COMPANY</v>
      </c>
      <c r="B5" s="1574"/>
      <c r="C5" s="1574"/>
      <c r="D5" s="1574"/>
      <c r="E5" s="1574"/>
      <c r="F5" s="1574"/>
      <c r="G5" s="1574"/>
      <c r="H5" s="1574"/>
      <c r="I5" s="1574"/>
      <c r="J5" s="1574"/>
      <c r="K5" s="1574"/>
      <c r="L5" s="1574"/>
      <c r="M5" s="1574"/>
      <c r="N5" s="1574"/>
    </row>
    <row r="6" spans="1:22" ht="26.25">
      <c r="A6" s="1333"/>
      <c r="B6" s="1337"/>
      <c r="C6" s="1337"/>
      <c r="D6" s="1337"/>
      <c r="E6" s="1337"/>
      <c r="F6" s="1337"/>
      <c r="G6" s="1337"/>
      <c r="H6" s="1337"/>
      <c r="I6" s="1337"/>
      <c r="J6" s="1337"/>
      <c r="K6" s="1337"/>
      <c r="L6" s="344"/>
      <c r="M6" s="1163"/>
    </row>
    <row r="7" spans="1:22" ht="20.25">
      <c r="A7" s="1164"/>
      <c r="B7" s="1337"/>
      <c r="C7" s="1337"/>
      <c r="D7" s="1337"/>
      <c r="E7" s="1337"/>
      <c r="F7" s="1337"/>
      <c r="G7" s="1337"/>
      <c r="H7" s="1337"/>
      <c r="I7" s="1337"/>
      <c r="J7" s="1337"/>
      <c r="K7" s="1337"/>
      <c r="L7" s="1337"/>
      <c r="M7" s="1165"/>
    </row>
    <row r="8" spans="1:22" ht="20.25">
      <c r="A8" s="1337"/>
      <c r="B8" s="1337"/>
      <c r="C8" s="1335"/>
      <c r="D8" s="1335"/>
      <c r="E8" s="1335"/>
      <c r="F8" s="1335"/>
      <c r="G8" s="1335"/>
      <c r="H8" s="1335"/>
      <c r="I8" s="1335"/>
      <c r="J8" s="1335"/>
      <c r="K8" s="1166" t="s">
        <v>356</v>
      </c>
      <c r="L8" s="1166" t="s">
        <v>247</v>
      </c>
      <c r="M8" s="1167"/>
      <c r="N8" s="198"/>
      <c r="P8" s="198"/>
      <c r="R8" s="198"/>
      <c r="S8" s="198"/>
      <c r="T8" s="198"/>
      <c r="U8" s="38"/>
      <c r="V8" s="38"/>
    </row>
    <row r="9" spans="1:22" ht="20.25">
      <c r="A9" s="1335"/>
      <c r="B9" s="1168" t="s">
        <v>1092</v>
      </c>
      <c r="C9" s="1335"/>
      <c r="D9" s="1335"/>
      <c r="E9" s="1335"/>
      <c r="F9" s="1335"/>
      <c r="G9" s="1335"/>
      <c r="H9" s="1335"/>
      <c r="I9" s="1335"/>
      <c r="J9" s="1337"/>
      <c r="K9" s="1166" t="s">
        <v>357</v>
      </c>
      <c r="L9" s="1166" t="s">
        <v>292</v>
      </c>
      <c r="M9" s="1166" t="s">
        <v>292</v>
      </c>
      <c r="N9" s="198"/>
      <c r="O9" s="198"/>
      <c r="P9" s="198"/>
      <c r="Q9" s="198"/>
      <c r="R9" s="198"/>
      <c r="S9" s="198"/>
      <c r="T9" s="428"/>
      <c r="U9" s="38"/>
      <c r="V9" s="38"/>
    </row>
    <row r="10" spans="1:22" ht="20.25">
      <c r="A10" s="1335"/>
      <c r="B10" s="1334"/>
      <c r="C10" s="1337"/>
      <c r="D10" s="1335"/>
      <c r="E10" s="1335"/>
      <c r="F10" s="1335"/>
      <c r="G10" s="1335"/>
      <c r="H10" s="1335"/>
      <c r="I10" s="1335"/>
      <c r="J10" s="1337"/>
      <c r="K10" s="1335"/>
      <c r="L10" s="1335"/>
      <c r="M10" s="1169"/>
      <c r="N10" s="198"/>
      <c r="O10" s="198"/>
      <c r="P10" s="198"/>
      <c r="Q10" s="198"/>
      <c r="R10" s="198"/>
      <c r="S10" s="198"/>
      <c r="T10" s="428"/>
      <c r="U10" s="38"/>
      <c r="V10" s="38"/>
    </row>
    <row r="11" spans="1:22" ht="20.25" customHeight="1">
      <c r="A11" s="1335"/>
      <c r="B11" s="1170">
        <v>1</v>
      </c>
      <c r="C11" s="1171" t="s">
        <v>1146</v>
      </c>
      <c r="D11" s="1337"/>
      <c r="E11" s="1337"/>
      <c r="F11" s="1335"/>
      <c r="G11" s="1337"/>
      <c r="H11" s="1337"/>
      <c r="I11" s="1335"/>
      <c r="J11" s="1337"/>
      <c r="K11" s="1172">
        <f>+'[4]Inputs 2019'!H247</f>
        <v>4999999</v>
      </c>
      <c r="L11" s="1173">
        <f>+K11-M11</f>
        <v>4999999</v>
      </c>
      <c r="M11" s="1172">
        <f>+'[4]Inputs 2019'!I247</f>
        <v>0</v>
      </c>
      <c r="N11" s="38"/>
      <c r="O11" s="38"/>
      <c r="P11" s="38"/>
      <c r="Q11" s="38"/>
      <c r="R11" s="38"/>
      <c r="S11" s="38"/>
      <c r="T11" s="198"/>
      <c r="U11" s="38"/>
      <c r="V11" s="38"/>
    </row>
    <row r="12" spans="1:22" ht="20.25" customHeight="1">
      <c r="A12" s="1335"/>
      <c r="B12" s="1170"/>
      <c r="C12" s="1334"/>
      <c r="D12" s="1337"/>
      <c r="E12" s="1337"/>
      <c r="F12" s="1335"/>
      <c r="G12" s="1337"/>
      <c r="H12" s="1337"/>
      <c r="I12" s="1335"/>
      <c r="J12" s="1337"/>
      <c r="K12" s="1174"/>
      <c r="L12" s="1297"/>
      <c r="M12" s="1297"/>
      <c r="N12" s="38"/>
      <c r="O12" s="38"/>
      <c r="P12" s="38"/>
      <c r="Q12" s="38"/>
      <c r="R12" s="38"/>
      <c r="S12" s="38"/>
      <c r="T12" s="198"/>
      <c r="U12" s="38"/>
      <c r="V12" s="38"/>
    </row>
    <row r="13" spans="1:22" ht="19.5">
      <c r="A13" s="1335"/>
      <c r="B13" s="1170">
        <f>+B11+1</f>
        <v>2</v>
      </c>
      <c r="C13" s="1175" t="s">
        <v>1111</v>
      </c>
      <c r="D13" s="1337"/>
      <c r="E13" s="1337"/>
      <c r="F13" s="1335"/>
      <c r="G13" s="1337"/>
      <c r="H13" s="1297"/>
      <c r="I13" s="1335"/>
      <c r="J13" s="1337"/>
      <c r="K13" s="1172">
        <f>+'[4]Inputs 2019'!H249</f>
        <v>2275000</v>
      </c>
      <c r="L13" s="1173">
        <f>+K13-M13</f>
        <v>2275000</v>
      </c>
      <c r="M13" s="1172">
        <f>+'[4]Inputs 2019'!I249</f>
        <v>0</v>
      </c>
      <c r="N13" s="38"/>
      <c r="O13" s="38"/>
      <c r="P13" s="38"/>
      <c r="Q13" s="38"/>
      <c r="R13" s="38"/>
      <c r="S13" s="38"/>
      <c r="T13" s="38"/>
      <c r="U13" s="38"/>
      <c r="V13" s="38"/>
    </row>
    <row r="14" spans="1:22" ht="20.25">
      <c r="A14" s="1335"/>
      <c r="B14" s="1170"/>
      <c r="C14" s="1334"/>
      <c r="D14" s="1337"/>
      <c r="E14" s="1337"/>
      <c r="F14" s="1335"/>
      <c r="G14" s="1337"/>
      <c r="H14" s="1297"/>
      <c r="I14" s="1335"/>
      <c r="J14" s="1335"/>
      <c r="K14" s="1174"/>
      <c r="L14" s="1335"/>
      <c r="M14" s="1298"/>
      <c r="N14" s="38"/>
      <c r="O14" s="38"/>
      <c r="P14" s="38"/>
      <c r="Q14" s="38"/>
      <c r="R14" s="38"/>
      <c r="S14" s="38"/>
      <c r="T14" s="38"/>
      <c r="U14" s="38"/>
      <c r="V14" s="38"/>
    </row>
    <row r="15" spans="1:22" ht="18">
      <c r="A15" s="1335"/>
      <c r="C15" s="1171" t="s">
        <v>1147</v>
      </c>
      <c r="D15" s="1337"/>
      <c r="E15" s="1337"/>
      <c r="F15" s="1335"/>
      <c r="G15" s="1337"/>
      <c r="H15" s="1337"/>
      <c r="I15" s="1335"/>
      <c r="J15" s="1335"/>
      <c r="K15" s="1174"/>
      <c r="L15" s="1173"/>
      <c r="M15" s="1162"/>
      <c r="N15" s="38"/>
      <c r="O15" s="38"/>
      <c r="P15" s="38"/>
      <c r="Q15" s="38"/>
      <c r="R15" s="38"/>
      <c r="S15" s="38"/>
      <c r="T15" s="38"/>
      <c r="U15" s="38"/>
      <c r="V15" s="38"/>
    </row>
    <row r="16" spans="1:22" ht="19.5">
      <c r="A16" s="1335"/>
      <c r="B16" s="1170"/>
      <c r="C16" s="1015"/>
      <c r="D16" s="1167" t="s">
        <v>115</v>
      </c>
      <c r="E16" s="1337"/>
      <c r="F16" s="1335"/>
      <c r="G16" s="1336"/>
      <c r="H16" s="1297"/>
      <c r="I16" s="1335"/>
      <c r="J16" s="1335"/>
      <c r="K16" s="1172">
        <f>+'[4]Inputs 2019'!H252</f>
        <v>1513121.52</v>
      </c>
      <c r="L16" s="1173">
        <f>+K16-M16</f>
        <v>1513121.52</v>
      </c>
      <c r="M16" s="1172">
        <f>+'[4]Inputs 2019'!I252</f>
        <v>0</v>
      </c>
      <c r="N16" s="38"/>
      <c r="O16" s="38"/>
      <c r="P16" s="38"/>
      <c r="Q16" s="38"/>
      <c r="R16" s="38"/>
      <c r="S16" s="38"/>
      <c r="T16" s="38"/>
      <c r="U16" s="38"/>
      <c r="V16" s="38"/>
    </row>
    <row r="17" spans="1:22" ht="19.5">
      <c r="A17" s="1335"/>
      <c r="B17" s="1170"/>
      <c r="C17" s="1016"/>
      <c r="D17" s="1167" t="s">
        <v>116</v>
      </c>
      <c r="E17" s="1337"/>
      <c r="F17" s="1335"/>
      <c r="G17" s="1336"/>
      <c r="H17" s="1297"/>
      <c r="I17" s="1335"/>
      <c r="J17" s="1335"/>
      <c r="K17" s="1172">
        <f>+'[4]Inputs 2019'!H253</f>
        <v>3099999.9999999902</v>
      </c>
      <c r="L17" s="1173">
        <f>+K17-M17</f>
        <v>3072429.9999999902</v>
      </c>
      <c r="M17" s="1172">
        <f>+'[4]Inputs 2019'!I253</f>
        <v>27570</v>
      </c>
      <c r="N17" s="38"/>
      <c r="O17" s="38"/>
      <c r="P17" s="38"/>
      <c r="Q17" s="38"/>
      <c r="R17" s="38"/>
      <c r="S17" s="38"/>
      <c r="T17" s="38"/>
      <c r="U17" s="38"/>
      <c r="V17" s="38"/>
    </row>
    <row r="18" spans="1:22" ht="19.5">
      <c r="A18" s="1335"/>
      <c r="B18" s="1170"/>
      <c r="C18" s="1016"/>
      <c r="D18" s="1167" t="s">
        <v>459</v>
      </c>
      <c r="E18" s="1337"/>
      <c r="F18" s="1335"/>
      <c r="G18" s="1336"/>
      <c r="H18" s="1297"/>
      <c r="I18" s="1335"/>
      <c r="J18" s="1335"/>
      <c r="K18" s="1172">
        <f>+'[4]Inputs 2019'!H254</f>
        <v>4700000.04</v>
      </c>
      <c r="L18" s="1173">
        <f>+K18-M18</f>
        <v>4700000.04</v>
      </c>
      <c r="M18" s="1172">
        <f>+'[4]Inputs 2019'!I254</f>
        <v>0</v>
      </c>
      <c r="O18" s="38"/>
      <c r="P18" s="38"/>
      <c r="Q18" s="38"/>
      <c r="R18" s="38"/>
      <c r="S18" s="38"/>
      <c r="T18" s="38"/>
      <c r="U18" s="38"/>
      <c r="V18" s="38"/>
    </row>
    <row r="19" spans="1:22" ht="19.5">
      <c r="A19" s="1335"/>
      <c r="B19" s="1170"/>
      <c r="C19" s="1016"/>
      <c r="D19" s="1176" t="s">
        <v>117</v>
      </c>
      <c r="E19" s="1337"/>
      <c r="F19" s="1335"/>
      <c r="G19" s="1336"/>
      <c r="H19" s="1297"/>
      <c r="I19" s="1335"/>
      <c r="J19" s="1335"/>
      <c r="K19" s="1172">
        <f>+'[4]Inputs 2019'!H255</f>
        <v>0</v>
      </c>
      <c r="L19" s="1173">
        <f>+K19-M19</f>
        <v>0</v>
      </c>
      <c r="M19" s="1172">
        <f>+'[4]Inputs 2019'!I255</f>
        <v>0</v>
      </c>
      <c r="N19" s="38"/>
      <c r="O19" s="38"/>
      <c r="P19" s="38"/>
      <c r="Q19" s="38"/>
      <c r="R19" s="38"/>
      <c r="S19" s="38"/>
      <c r="T19" s="38"/>
      <c r="U19" s="38"/>
      <c r="V19" s="38"/>
    </row>
    <row r="20" spans="1:22" ht="19.5">
      <c r="A20" s="1335"/>
      <c r="B20" s="1170"/>
      <c r="C20" s="1016"/>
      <c r="D20" s="1176" t="s">
        <v>554</v>
      </c>
      <c r="E20" s="1337"/>
      <c r="F20" s="1335"/>
      <c r="G20" s="1336"/>
      <c r="H20" s="1297"/>
      <c r="I20" s="1335"/>
      <c r="J20" s="1335"/>
      <c r="K20" s="1172"/>
      <c r="L20" s="1173"/>
      <c r="M20" s="1172"/>
      <c r="N20" s="38"/>
      <c r="O20" s="38"/>
      <c r="P20" s="38"/>
      <c r="Q20" s="38"/>
      <c r="R20" s="38"/>
      <c r="S20" s="38"/>
      <c r="T20" s="38"/>
      <c r="U20" s="38"/>
      <c r="V20" s="38"/>
    </row>
    <row r="21" spans="1:22" ht="19.5">
      <c r="A21" s="1335"/>
      <c r="B21" s="1170">
        <f>+B13+1</f>
        <v>3</v>
      </c>
      <c r="C21" s="1016"/>
      <c r="D21" s="1167" t="s">
        <v>553</v>
      </c>
      <c r="E21" s="1337"/>
      <c r="F21" s="1335"/>
      <c r="G21" s="1336"/>
      <c r="H21" s="1297"/>
      <c r="I21" s="1335"/>
      <c r="J21" s="1335"/>
      <c r="K21" s="1177">
        <f>SUM(K16:K20)</f>
        <v>9313121.5599999912</v>
      </c>
      <c r="L21" s="1173"/>
      <c r="M21" s="1177">
        <f>SUM(M16:M20)</f>
        <v>27570</v>
      </c>
      <c r="N21" s="38"/>
      <c r="O21" s="38"/>
      <c r="P21" s="38"/>
      <c r="Q21" s="38"/>
      <c r="R21" s="38"/>
      <c r="S21" s="38"/>
      <c r="T21" s="38"/>
      <c r="U21" s="38"/>
      <c r="V21" s="38"/>
    </row>
    <row r="22" spans="1:22" ht="19.5">
      <c r="A22" s="1335"/>
      <c r="B22" s="1170"/>
      <c r="C22" s="1297"/>
      <c r="D22" s="1337"/>
      <c r="E22" s="1337"/>
      <c r="F22" s="1335"/>
      <c r="G22" s="1336"/>
      <c r="H22" s="1297"/>
      <c r="I22" s="1335"/>
      <c r="J22" s="1335"/>
      <c r="K22" s="1335"/>
      <c r="L22" s="1335"/>
      <c r="M22" s="1297"/>
      <c r="N22" s="38"/>
      <c r="O22" s="38"/>
      <c r="P22" s="38"/>
      <c r="Q22" s="38"/>
      <c r="R22" s="38"/>
      <c r="S22" s="38"/>
      <c r="T22" s="38"/>
      <c r="U22" s="38"/>
      <c r="V22" s="38"/>
    </row>
    <row r="23" spans="1:22" ht="19.5">
      <c r="A23" s="1335"/>
      <c r="B23" s="1170"/>
      <c r="C23" s="1178"/>
      <c r="D23" s="1337"/>
      <c r="E23" s="1337"/>
      <c r="F23" s="1335"/>
      <c r="G23" s="1336"/>
      <c r="H23" s="1297"/>
      <c r="I23" s="1335"/>
      <c r="J23" s="1335"/>
      <c r="K23" s="1335"/>
      <c r="L23" s="1335"/>
      <c r="M23" s="1297"/>
      <c r="N23" s="38"/>
      <c r="O23" s="38"/>
      <c r="P23" s="38"/>
      <c r="Q23" s="38"/>
      <c r="R23" s="38"/>
      <c r="S23" s="38"/>
      <c r="T23" s="38"/>
      <c r="U23" s="38"/>
      <c r="V23" s="38"/>
    </row>
    <row r="24" spans="1:22" ht="19.5">
      <c r="A24" s="1335"/>
      <c r="B24" s="1170"/>
      <c r="C24" s="1297"/>
      <c r="D24" s="1337"/>
      <c r="E24" s="1337"/>
      <c r="F24" s="1335"/>
      <c r="G24" s="1336"/>
      <c r="H24" s="1297"/>
      <c r="I24" s="1335"/>
      <c r="J24" s="1335"/>
      <c r="K24" s="1335"/>
      <c r="L24" s="1335"/>
      <c r="M24" s="1297"/>
      <c r="N24" s="38"/>
      <c r="O24" s="38"/>
      <c r="P24" s="38"/>
      <c r="Q24" s="38"/>
      <c r="R24" s="38"/>
      <c r="S24" s="38"/>
      <c r="T24" s="38"/>
      <c r="U24" s="38"/>
      <c r="V24" s="38"/>
    </row>
    <row r="25" spans="1:22" ht="19.5">
      <c r="A25" s="1335"/>
      <c r="B25" s="1170"/>
      <c r="C25" s="1175" t="s">
        <v>1096</v>
      </c>
      <c r="D25" s="1337"/>
      <c r="E25" s="1337"/>
      <c r="F25" s="1335"/>
      <c r="G25" s="1336"/>
      <c r="H25" s="1297"/>
      <c r="I25" s="1335"/>
      <c r="J25" s="1335"/>
      <c r="K25" s="520"/>
      <c r="L25" s="520"/>
      <c r="M25" s="520"/>
      <c r="N25" s="38"/>
      <c r="O25" s="38"/>
      <c r="P25" s="38"/>
      <c r="Q25" s="38"/>
      <c r="R25" s="38"/>
      <c r="S25" s="38"/>
      <c r="T25" s="38"/>
      <c r="U25" s="38"/>
      <c r="V25" s="38"/>
    </row>
    <row r="26" spans="1:22" ht="19.5">
      <c r="A26" s="1335"/>
      <c r="B26" s="1170"/>
      <c r="C26" s="52">
        <v>1</v>
      </c>
      <c r="D26" s="1167" t="s">
        <v>118</v>
      </c>
      <c r="E26" s="1337"/>
      <c r="F26" s="1335"/>
      <c r="G26" s="1336"/>
      <c r="H26" s="1297"/>
      <c r="I26" s="1335"/>
      <c r="J26" s="1335"/>
      <c r="K26" s="1172">
        <f>+'[4]Inputs 2019'!H258</f>
        <v>846050</v>
      </c>
      <c r="L26" s="1173"/>
      <c r="M26" s="1172">
        <f>+'[4]Inputs 2019'!I258</f>
        <v>213233</v>
      </c>
      <c r="N26" s="38"/>
      <c r="O26" s="38"/>
      <c r="P26" s="38"/>
      <c r="Q26" s="38"/>
      <c r="R26" s="38"/>
      <c r="S26" s="38"/>
      <c r="T26" s="38"/>
      <c r="U26" s="38"/>
      <c r="V26" s="38"/>
    </row>
    <row r="27" spans="1:22" ht="19.5">
      <c r="A27" s="1335"/>
      <c r="B27" s="1170"/>
      <c r="C27" s="52">
        <v>2</v>
      </c>
      <c r="D27" s="1167" t="s">
        <v>1097</v>
      </c>
      <c r="E27" s="1337"/>
      <c r="F27" s="1335"/>
      <c r="G27" s="1336"/>
      <c r="H27" s="1297"/>
      <c r="I27" s="1335"/>
      <c r="J27" s="1335"/>
      <c r="K27" s="1172">
        <f>+'[4]Inputs 2019'!H259</f>
        <v>5550000.0000009835</v>
      </c>
      <c r="L27" s="1173"/>
      <c r="M27" s="1172">
        <f>+'[4]Inputs 2019'!I259</f>
        <v>0</v>
      </c>
      <c r="N27" s="38"/>
      <c r="O27" s="38"/>
      <c r="P27" s="38"/>
      <c r="Q27" s="38"/>
      <c r="R27" s="38"/>
      <c r="S27" s="38"/>
      <c r="T27" s="38"/>
      <c r="U27" s="38"/>
      <c r="V27" s="38"/>
    </row>
    <row r="28" spans="1:22" ht="19.5">
      <c r="A28" s="1335"/>
      <c r="B28" s="1170">
        <f>+B21+1</f>
        <v>4</v>
      </c>
      <c r="C28" s="1175"/>
      <c r="D28" s="1167" t="s">
        <v>1112</v>
      </c>
      <c r="E28" s="1337"/>
      <c r="F28" s="1335"/>
      <c r="G28" s="1336"/>
      <c r="H28" s="1297"/>
      <c r="I28" s="1335"/>
      <c r="J28" s="1335"/>
      <c r="K28" s="1179">
        <f>+K26+K27</f>
        <v>6396050.0000009835</v>
      </c>
      <c r="L28" s="1173"/>
      <c r="M28" s="1179">
        <f>+M26+M27</f>
        <v>213233</v>
      </c>
      <c r="N28" s="38"/>
      <c r="O28" s="38"/>
      <c r="P28" s="38"/>
      <c r="Q28" s="38"/>
      <c r="R28" s="38"/>
      <c r="S28" s="38"/>
      <c r="T28" s="38"/>
      <c r="U28" s="38"/>
      <c r="V28" s="38"/>
    </row>
    <row r="29" spans="1:22" ht="19.5">
      <c r="A29" s="1335"/>
      <c r="B29" s="1170"/>
      <c r="E29" s="1337"/>
      <c r="F29" s="1335"/>
      <c r="G29" s="1336"/>
      <c r="H29" s="1297"/>
      <c r="I29" s="1335"/>
      <c r="J29" s="1335"/>
      <c r="M29" s="244"/>
      <c r="N29" s="38"/>
      <c r="O29" s="38"/>
      <c r="P29" s="38"/>
      <c r="Q29" s="38"/>
      <c r="R29" s="38"/>
      <c r="S29" s="38"/>
      <c r="T29" s="38"/>
      <c r="U29" s="38"/>
      <c r="V29" s="38"/>
    </row>
    <row r="30" spans="1:22" ht="20.25">
      <c r="A30" s="1335"/>
      <c r="B30" s="1170"/>
      <c r="C30" s="1334"/>
      <c r="D30" s="1337"/>
      <c r="E30" s="1337"/>
      <c r="F30" s="1335"/>
      <c r="G30" s="1336"/>
      <c r="H30" s="1297"/>
      <c r="I30" s="1335"/>
      <c r="J30" s="1335"/>
      <c r="K30" s="1335"/>
      <c r="L30" s="1335"/>
      <c r="M30" s="1180"/>
      <c r="N30" s="38"/>
      <c r="O30" s="38"/>
      <c r="P30" s="38"/>
      <c r="Q30" s="38"/>
      <c r="R30" s="38"/>
      <c r="S30" s="38"/>
      <c r="T30" s="38"/>
      <c r="U30" s="38"/>
      <c r="V30" s="38"/>
    </row>
    <row r="31" spans="1:22" ht="20.25" customHeight="1">
      <c r="A31" s="1335"/>
      <c r="B31" s="1170"/>
      <c r="C31" s="1175" t="s">
        <v>1093</v>
      </c>
      <c r="D31" s="1337"/>
      <c r="E31" s="1337"/>
      <c r="F31" s="1335"/>
      <c r="G31" s="1337"/>
      <c r="H31" s="1337"/>
      <c r="I31" s="1335"/>
      <c r="J31" s="1335"/>
      <c r="K31" s="1337"/>
      <c r="L31" s="1337"/>
      <c r="M31" s="1172">
        <f>+'[4]Inputs 2019'!H261</f>
        <v>103589966.1837</v>
      </c>
      <c r="N31" s="38"/>
      <c r="O31" s="38"/>
      <c r="P31" s="38"/>
      <c r="Q31" s="38"/>
      <c r="R31" s="38"/>
      <c r="S31" s="38"/>
      <c r="T31" s="198"/>
      <c r="U31" s="38"/>
      <c r="V31" s="38"/>
    </row>
    <row r="32" spans="1:22" ht="19.899999999999999" customHeight="1">
      <c r="A32" s="1335"/>
      <c r="B32" s="1170"/>
      <c r="C32" s="1178"/>
      <c r="D32" s="1335"/>
      <c r="E32" s="1335"/>
      <c r="F32" s="1335"/>
      <c r="G32" s="1335"/>
      <c r="H32" s="1337"/>
      <c r="I32" s="1335"/>
      <c r="J32" s="1335"/>
      <c r="K32" s="1335"/>
      <c r="L32" s="1337"/>
      <c r="M32" s="1338"/>
      <c r="N32" s="38"/>
      <c r="O32" s="38"/>
      <c r="P32" s="38"/>
      <c r="Q32" s="38"/>
      <c r="R32" s="38"/>
      <c r="S32" s="38"/>
      <c r="T32" s="163"/>
      <c r="U32" s="38"/>
      <c r="V32" s="38"/>
    </row>
    <row r="33" spans="1:22" ht="19.899999999999999" customHeight="1">
      <c r="A33" s="1335"/>
      <c r="B33" s="1170"/>
      <c r="C33" s="1181" t="s">
        <v>119</v>
      </c>
      <c r="D33" s="1337"/>
      <c r="E33" s="1335"/>
      <c r="F33" s="1337"/>
      <c r="G33" s="1335"/>
      <c r="H33" s="1335"/>
      <c r="I33" s="1335"/>
      <c r="J33" s="1335"/>
      <c r="K33" s="1335"/>
      <c r="L33" s="1337"/>
      <c r="M33" s="1338"/>
      <c r="N33" s="38"/>
      <c r="O33" s="38"/>
      <c r="P33" s="38"/>
      <c r="Q33" s="38"/>
      <c r="R33" s="38"/>
      <c r="S33" s="38"/>
      <c r="T33" s="163"/>
      <c r="U33" s="38"/>
      <c r="V33" s="38"/>
    </row>
    <row r="34" spans="1:22" ht="19.899999999999999" customHeight="1">
      <c r="A34" s="1335"/>
      <c r="B34" s="1170"/>
      <c r="C34" s="52"/>
      <c r="D34" s="1339" t="s">
        <v>120</v>
      </c>
      <c r="E34" s="1340"/>
      <c r="F34" s="1337"/>
      <c r="G34" s="1335"/>
      <c r="H34" s="1335"/>
      <c r="I34" s="1335"/>
      <c r="J34" s="1335"/>
      <c r="K34" s="1335"/>
      <c r="L34" s="1337"/>
      <c r="M34" s="1172">
        <f>+'[4]Inputs 2019'!H263</f>
        <v>1255379.9999999902</v>
      </c>
      <c r="N34" s="38"/>
      <c r="O34" s="38"/>
      <c r="P34" s="38"/>
      <c r="Q34" s="38"/>
      <c r="R34" s="38"/>
      <c r="S34" s="38"/>
      <c r="T34" s="163"/>
      <c r="U34" s="38"/>
      <c r="V34" s="38"/>
    </row>
    <row r="35" spans="1:22" ht="19.899999999999999" customHeight="1">
      <c r="A35" s="1335"/>
      <c r="B35" s="1170"/>
      <c r="C35" s="52"/>
      <c r="D35" s="1339" t="s">
        <v>121</v>
      </c>
      <c r="E35" s="1340"/>
      <c r="F35" s="1337"/>
      <c r="G35" s="1335"/>
      <c r="H35" s="1335"/>
      <c r="I35" s="1335"/>
      <c r="J35" s="1335"/>
      <c r="K35" s="1335"/>
      <c r="L35" s="1337"/>
      <c r="M35" s="1172"/>
      <c r="N35" s="38"/>
      <c r="O35" s="38"/>
      <c r="P35" s="38"/>
      <c r="Q35" s="38"/>
      <c r="R35" s="38"/>
      <c r="S35" s="38"/>
      <c r="T35" s="163"/>
      <c r="U35" s="38"/>
      <c r="V35" s="38"/>
    </row>
    <row r="36" spans="1:22" ht="19.899999999999999" customHeight="1">
      <c r="A36" s="1335"/>
      <c r="B36" s="1170"/>
      <c r="C36" s="52"/>
      <c r="D36" s="1339" t="s">
        <v>122</v>
      </c>
      <c r="E36" s="1340"/>
      <c r="F36" s="1337"/>
      <c r="G36" s="1335"/>
      <c r="H36" s="1335"/>
      <c r="I36" s="1335"/>
      <c r="J36" s="1335"/>
      <c r="K36" s="1335"/>
      <c r="L36" s="1337"/>
      <c r="M36" s="1172">
        <v>0</v>
      </c>
      <c r="N36" s="38"/>
      <c r="O36" s="38"/>
      <c r="P36" s="38"/>
      <c r="Q36" s="38"/>
      <c r="R36" s="38"/>
      <c r="S36" s="38"/>
      <c r="T36" s="163"/>
      <c r="U36" s="38"/>
      <c r="V36" s="38"/>
    </row>
    <row r="37" spans="1:22" ht="19.899999999999999" customHeight="1">
      <c r="A37" s="1335"/>
      <c r="B37" s="1170"/>
      <c r="C37" s="52"/>
      <c r="D37" s="1339" t="s">
        <v>123</v>
      </c>
      <c r="E37" s="1340"/>
      <c r="F37" s="1337"/>
      <c r="G37" s="1335"/>
      <c r="H37" s="1335"/>
      <c r="I37" s="1335"/>
      <c r="J37" s="1335"/>
      <c r="K37" s="1337"/>
      <c r="L37" s="1337"/>
      <c r="M37" s="1172"/>
      <c r="N37" s="38"/>
      <c r="O37" s="38"/>
      <c r="P37" s="38"/>
      <c r="Q37" s="38"/>
      <c r="R37" s="38"/>
      <c r="S37" s="38"/>
      <c r="T37" s="163"/>
      <c r="U37" s="38"/>
      <c r="V37" s="38"/>
    </row>
    <row r="38" spans="1:22" ht="19.899999999999999" customHeight="1">
      <c r="A38" s="1335"/>
      <c r="B38" s="1170"/>
      <c r="C38" s="52"/>
      <c r="D38" s="1339" t="s">
        <v>124</v>
      </c>
      <c r="E38" s="1341"/>
      <c r="F38" s="1337"/>
      <c r="G38" s="1335"/>
      <c r="H38" s="1335"/>
      <c r="I38" s="1335"/>
      <c r="J38" s="1335"/>
      <c r="K38" s="1335"/>
      <c r="L38" s="1337"/>
      <c r="M38" s="1172">
        <f>+'[4]Inputs 2019'!H270</f>
        <v>46006231.325100005</v>
      </c>
      <c r="N38" s="38"/>
      <c r="O38" s="38"/>
      <c r="P38" s="38"/>
      <c r="Q38" s="38"/>
      <c r="R38" s="38"/>
      <c r="S38" s="38"/>
      <c r="T38" s="163"/>
      <c r="U38" s="38"/>
      <c r="V38" s="38"/>
    </row>
    <row r="39" spans="1:22" ht="19.899999999999999" customHeight="1">
      <c r="A39" s="1335"/>
      <c r="B39" s="1170"/>
      <c r="C39" s="52"/>
      <c r="D39" s="1339" t="s">
        <v>125</v>
      </c>
      <c r="E39" s="1340"/>
      <c r="F39" s="1335"/>
      <c r="G39" s="1335"/>
      <c r="H39" s="1335"/>
      <c r="I39" s="1335"/>
      <c r="J39" s="1335"/>
      <c r="K39" s="1335"/>
      <c r="L39" s="1337"/>
      <c r="M39" s="1172"/>
      <c r="N39" s="38"/>
      <c r="O39" s="38"/>
      <c r="P39" s="38"/>
      <c r="Q39" s="38"/>
      <c r="R39" s="38"/>
      <c r="S39" s="38"/>
      <c r="T39" s="163"/>
      <c r="U39" s="38"/>
      <c r="V39" s="38"/>
    </row>
    <row r="40" spans="1:22" ht="19.899999999999999" customHeight="1">
      <c r="A40" s="1335"/>
      <c r="B40" s="1170"/>
      <c r="C40" s="52"/>
      <c r="D40" s="1339" t="s">
        <v>126</v>
      </c>
      <c r="E40" s="1340"/>
      <c r="F40" s="1335"/>
      <c r="G40" s="1335"/>
      <c r="H40" s="1335"/>
      <c r="I40" s="1335"/>
      <c r="J40" s="1335"/>
      <c r="K40" s="1335"/>
      <c r="L40" s="1337"/>
      <c r="M40" s="1172"/>
      <c r="N40" s="38"/>
      <c r="O40" s="38"/>
      <c r="P40" s="38"/>
      <c r="Q40" s="38"/>
      <c r="R40" s="38"/>
      <c r="S40" s="38"/>
      <c r="T40" s="163"/>
      <c r="U40" s="38"/>
      <c r="V40" s="38"/>
    </row>
    <row r="41" spans="1:22" ht="19.899999999999999" customHeight="1">
      <c r="A41" s="1335"/>
      <c r="B41" s="1170"/>
      <c r="C41" s="52"/>
      <c r="D41" s="1339" t="s">
        <v>127</v>
      </c>
      <c r="E41" s="1340"/>
      <c r="F41" s="1335"/>
      <c r="G41" s="1335"/>
      <c r="H41" s="1335"/>
      <c r="I41" s="1335"/>
      <c r="J41" s="1335"/>
      <c r="K41" s="1335"/>
      <c r="L41" s="1337"/>
      <c r="M41" s="1172">
        <f>+'[4]Inputs 2019'!H273-'[4]Inputs 2019'!$I$273</f>
        <v>1033001.2381</v>
      </c>
      <c r="N41" s="38"/>
      <c r="O41" s="38"/>
      <c r="P41" s="38"/>
      <c r="Q41" s="38"/>
      <c r="R41" s="38"/>
      <c r="S41" s="38"/>
      <c r="T41" s="163"/>
      <c r="U41" s="38"/>
      <c r="V41" s="38"/>
    </row>
    <row r="42" spans="1:22" ht="19.899999999999999" customHeight="1">
      <c r="A42" s="1335"/>
      <c r="B42" s="1170"/>
      <c r="C42" s="52"/>
      <c r="D42" s="1339" t="s">
        <v>128</v>
      </c>
      <c r="E42" s="1340"/>
      <c r="F42" s="1335"/>
      <c r="G42" s="1335"/>
      <c r="H42" s="1335"/>
      <c r="I42" s="1335"/>
      <c r="J42" s="1335"/>
      <c r="K42" s="1335"/>
      <c r="L42" s="1337"/>
      <c r="M42" s="1172">
        <f>+'[4]Inputs 2019'!H282</f>
        <v>48519218.918899998</v>
      </c>
      <c r="N42" s="38"/>
      <c r="O42" s="38"/>
      <c r="P42" s="38"/>
      <c r="Q42" s="38"/>
      <c r="R42" s="38"/>
      <c r="S42" s="38"/>
      <c r="T42" s="163"/>
      <c r="U42" s="38"/>
      <c r="V42" s="38"/>
    </row>
    <row r="43" spans="1:22" ht="19.899999999999999" customHeight="1">
      <c r="A43" s="1335"/>
      <c r="B43" s="1170"/>
      <c r="C43" s="52"/>
      <c r="D43" s="1342" t="s">
        <v>129</v>
      </c>
      <c r="E43" s="1340"/>
      <c r="F43" s="1335"/>
      <c r="G43" s="1335"/>
      <c r="H43" s="1335"/>
      <c r="I43" s="1335"/>
      <c r="J43" s="1335"/>
      <c r="K43" s="1335"/>
      <c r="L43" s="1337"/>
      <c r="M43" s="1172"/>
      <c r="N43" s="38"/>
      <c r="O43" s="38"/>
      <c r="P43" s="38"/>
      <c r="Q43" s="38"/>
      <c r="R43" s="38"/>
      <c r="S43" s="38"/>
      <c r="T43" s="163"/>
      <c r="U43" s="38"/>
      <c r="V43" s="38"/>
    </row>
    <row r="44" spans="1:22" ht="19.899999999999999" customHeight="1">
      <c r="A44" s="1335"/>
      <c r="B44" s="1170"/>
      <c r="C44" s="52"/>
      <c r="D44" s="1182" t="s">
        <v>355</v>
      </c>
      <c r="E44" s="1340"/>
      <c r="F44" s="1335"/>
      <c r="G44" s="1335"/>
      <c r="H44" s="1335"/>
      <c r="I44" s="1335"/>
      <c r="J44" s="1335"/>
      <c r="K44" s="1335"/>
      <c r="L44" s="1337"/>
      <c r="M44" s="1172"/>
      <c r="N44" s="38"/>
      <c r="O44" s="38"/>
      <c r="P44" s="38"/>
      <c r="Q44" s="38"/>
      <c r="R44" s="38"/>
      <c r="S44" s="38"/>
      <c r="T44" s="163"/>
      <c r="U44" s="38"/>
      <c r="V44" s="38"/>
    </row>
    <row r="45" spans="1:22" ht="19.899999999999999" customHeight="1">
      <c r="A45" s="1335"/>
      <c r="B45" s="1183">
        <f>+B28+1</f>
        <v>5</v>
      </c>
      <c r="C45" s="1184"/>
      <c r="D45" s="1184"/>
      <c r="E45" s="1184"/>
      <c r="F45" s="1184"/>
      <c r="G45" s="1184"/>
      <c r="H45" s="1184"/>
      <c r="I45" s="1175" t="s">
        <v>1148</v>
      </c>
      <c r="J45" s="1185"/>
      <c r="K45" s="1337"/>
      <c r="L45" s="1337"/>
      <c r="M45" s="1344">
        <f>+M31-SUM(M34:M44)</f>
        <v>6776134.7016000003</v>
      </c>
      <c r="N45" s="38"/>
      <c r="O45" s="38"/>
      <c r="P45" s="38"/>
      <c r="Q45" s="38"/>
      <c r="R45" s="38"/>
      <c r="S45" s="38"/>
      <c r="T45" s="163"/>
      <c r="U45" s="38"/>
      <c r="V45" s="38"/>
    </row>
    <row r="46" spans="1:22" ht="19.899999999999999" customHeight="1">
      <c r="A46" s="1335"/>
      <c r="B46" s="1183"/>
      <c r="C46" s="1184"/>
      <c r="D46" s="1184"/>
      <c r="E46" s="1184"/>
      <c r="F46" s="1184"/>
      <c r="G46" s="1184"/>
      <c r="H46" s="1184"/>
      <c r="I46" s="1184"/>
      <c r="J46" s="1184"/>
      <c r="K46" s="1335"/>
      <c r="L46" s="1343"/>
      <c r="M46" s="1297"/>
      <c r="N46" s="38"/>
      <c r="O46" s="38"/>
      <c r="P46" s="38"/>
      <c r="Q46" s="38"/>
      <c r="R46" s="38"/>
      <c r="S46" s="38"/>
      <c r="T46" s="163"/>
      <c r="U46" s="38"/>
      <c r="V46" s="38"/>
    </row>
    <row r="47" spans="1:22" ht="39.75" customHeight="1">
      <c r="A47" s="1335"/>
      <c r="B47" s="1183">
        <f>+B45+1</f>
        <v>6</v>
      </c>
      <c r="C47" s="1613" t="s">
        <v>1089</v>
      </c>
      <c r="D47" s="1613"/>
      <c r="E47" s="1613"/>
      <c r="F47" s="1613"/>
      <c r="G47" s="1613"/>
      <c r="H47" s="1613"/>
      <c r="I47" s="1613"/>
      <c r="J47" s="1613"/>
      <c r="K47" s="1172"/>
      <c r="L47" s="1173"/>
      <c r="M47" s="1172"/>
      <c r="N47" s="38"/>
      <c r="O47" s="38"/>
      <c r="P47" s="38"/>
      <c r="Q47" s="38"/>
      <c r="R47" s="38"/>
      <c r="S47" s="38"/>
      <c r="T47" s="163"/>
      <c r="U47" s="38"/>
      <c r="V47" s="38"/>
    </row>
    <row r="48" spans="1:22" ht="19.899999999999999" customHeight="1">
      <c r="A48" s="1335"/>
      <c r="B48" s="1183"/>
      <c r="C48" s="1186"/>
      <c r="D48" s="1187"/>
      <c r="E48" s="1187"/>
      <c r="F48" s="1188"/>
      <c r="G48" s="1189"/>
      <c r="H48" s="1188"/>
      <c r="I48" s="1188"/>
      <c r="J48" s="1188"/>
      <c r="K48" s="1190"/>
      <c r="L48" s="1173"/>
      <c r="M48" s="1190"/>
      <c r="N48" s="38"/>
      <c r="O48" s="38"/>
      <c r="P48" s="38"/>
      <c r="Q48" s="38"/>
      <c r="R48" s="38"/>
      <c r="S48" s="38"/>
      <c r="T48" s="163"/>
      <c r="U48" s="38"/>
      <c r="V48" s="38"/>
    </row>
    <row r="49" spans="1:22" ht="19.5">
      <c r="A49" s="1335"/>
      <c r="B49" s="1183">
        <f>+B47+1</f>
        <v>7</v>
      </c>
      <c r="C49" s="1613" t="s">
        <v>1090</v>
      </c>
      <c r="D49" s="1613"/>
      <c r="E49" s="1613"/>
      <c r="F49" s="1613"/>
      <c r="G49" s="1613"/>
      <c r="H49" s="1613"/>
      <c r="I49" s="1613"/>
      <c r="J49" s="1613"/>
      <c r="K49" s="1172"/>
      <c r="L49" s="1173"/>
      <c r="M49" s="1172"/>
      <c r="N49" s="38"/>
      <c r="O49" s="38"/>
      <c r="P49" s="38"/>
      <c r="Q49" s="38"/>
      <c r="R49" s="38"/>
      <c r="S49" s="38"/>
      <c r="T49" s="163"/>
      <c r="U49" s="38"/>
      <c r="V49" s="38"/>
    </row>
    <row r="50" spans="1:22" ht="19.899999999999999" customHeight="1">
      <c r="A50" s="1335"/>
      <c r="B50" s="1183"/>
      <c r="C50" s="1191"/>
      <c r="D50" s="1185"/>
      <c r="E50" s="1185"/>
      <c r="F50" s="1184"/>
      <c r="G50" s="1192"/>
      <c r="H50" s="1184"/>
      <c r="I50" s="1184"/>
      <c r="J50" s="1184"/>
      <c r="K50" s="1190"/>
      <c r="L50" s="1173"/>
      <c r="M50" s="1190"/>
      <c r="N50" s="38"/>
      <c r="O50" s="38"/>
      <c r="P50" s="38"/>
      <c r="Q50" s="38"/>
      <c r="R50" s="38"/>
      <c r="S50" s="38"/>
      <c r="T50" s="163"/>
      <c r="U50" s="38"/>
      <c r="V50" s="38"/>
    </row>
    <row r="51" spans="1:22" ht="20.25" customHeight="1" thickBot="1">
      <c r="A51" s="1335"/>
      <c r="B51" s="1183">
        <f>+B49+1</f>
        <v>8</v>
      </c>
      <c r="C51" s="1175" t="str">
        <f>"Total Revenue Credits - Sum lines "&amp;B11&amp;" through "&amp;B49&amp;""</f>
        <v>Total Revenue Credits - Sum lines 1 through 7</v>
      </c>
      <c r="D51" s="1185"/>
      <c r="E51" s="1185"/>
      <c r="F51" s="1184"/>
      <c r="G51" s="1185"/>
      <c r="H51" s="1185"/>
      <c r="I51" s="1184"/>
      <c r="J51" s="1184"/>
      <c r="K51" s="1335"/>
      <c r="L51" s="1335"/>
      <c r="M51" s="1345">
        <f>+M11+M13+M21+M28+M45+M47+M49</f>
        <v>7016937.7016000003</v>
      </c>
      <c r="N51" s="38"/>
      <c r="O51" s="38"/>
      <c r="P51" s="38"/>
      <c r="Q51" s="38"/>
      <c r="R51" s="38"/>
      <c r="S51" s="38"/>
      <c r="T51" s="198"/>
      <c r="U51" s="38"/>
      <c r="V51" s="38"/>
    </row>
    <row r="52" spans="1:22" ht="19.899999999999999" customHeight="1" thickTop="1">
      <c r="A52" s="1335"/>
      <c r="B52" s="1335"/>
      <c r="C52" s="1335"/>
      <c r="D52" s="14"/>
      <c r="E52" s="1335"/>
      <c r="F52" s="1335"/>
      <c r="G52" s="1335"/>
      <c r="H52" s="1335"/>
      <c r="I52" s="1335"/>
      <c r="J52" s="1335"/>
      <c r="K52" s="1335"/>
      <c r="L52" s="1343"/>
      <c r="M52" s="38"/>
      <c r="N52" s="38"/>
      <c r="O52" s="38"/>
      <c r="P52" s="38"/>
      <c r="Q52" s="38"/>
      <c r="R52" s="38"/>
      <c r="S52" s="38"/>
      <c r="T52" s="163"/>
      <c r="U52" s="38"/>
      <c r="V52" s="38"/>
    </row>
    <row r="53" spans="1:22" ht="20.25">
      <c r="A53" s="1335"/>
      <c r="B53" s="1193"/>
      <c r="C53" s="1193"/>
      <c r="D53" s="1337"/>
      <c r="E53" s="1337"/>
      <c r="F53" s="1346"/>
      <c r="G53" s="1346"/>
      <c r="H53" s="1346"/>
      <c r="I53" s="1346"/>
      <c r="J53" s="1346"/>
      <c r="K53" s="1346"/>
      <c r="L53" s="1347"/>
      <c r="M53" s="38"/>
      <c r="N53" s="39"/>
      <c r="O53" s="39"/>
      <c r="P53" s="39"/>
      <c r="Q53" s="39"/>
      <c r="R53" s="40"/>
      <c r="S53" s="40"/>
      <c r="T53" s="38"/>
      <c r="U53" s="38"/>
      <c r="V53" s="38"/>
    </row>
    <row r="54" spans="1:22" ht="12.75">
      <c r="A54" s="1335"/>
      <c r="B54" s="1335"/>
      <c r="C54" s="1337"/>
      <c r="D54" s="1337"/>
      <c r="E54" s="1337"/>
      <c r="F54" s="1346"/>
      <c r="G54" s="1346"/>
      <c r="H54" s="1346"/>
      <c r="I54" s="1346"/>
      <c r="J54" s="1346"/>
      <c r="K54" s="1346"/>
      <c r="L54" s="1335"/>
      <c r="M54" s="38"/>
      <c r="N54" s="39"/>
      <c r="O54" s="39"/>
      <c r="P54" s="39"/>
      <c r="Q54" s="39"/>
      <c r="R54" s="38"/>
      <c r="S54" s="38"/>
      <c r="T54" s="38"/>
      <c r="U54" s="38"/>
      <c r="V54" s="38"/>
    </row>
    <row r="55" spans="1:22">
      <c r="A55" s="1335"/>
      <c r="B55" s="1335"/>
      <c r="C55" s="1297" t="s">
        <v>1091</v>
      </c>
      <c r="E55" s="1337"/>
      <c r="F55" s="1346"/>
      <c r="G55" s="1346"/>
      <c r="H55" s="1346"/>
      <c r="I55" s="1346"/>
      <c r="J55" s="1346"/>
      <c r="K55" s="1346"/>
      <c r="L55" s="1335"/>
      <c r="M55" s="38"/>
      <c r="N55" s="39"/>
      <c r="O55" s="39"/>
      <c r="P55" s="39"/>
      <c r="Q55" s="39"/>
      <c r="R55" s="38"/>
      <c r="S55" s="38"/>
      <c r="T55" s="38"/>
      <c r="U55" s="38"/>
      <c r="V55" s="38"/>
    </row>
    <row r="56" spans="1:22" ht="12.75" customHeight="1">
      <c r="A56" s="38"/>
      <c r="B56" s="38"/>
      <c r="C56" s="38"/>
      <c r="D56" s="38"/>
      <c r="E56" s="38"/>
      <c r="F56" s="38"/>
      <c r="G56" s="38"/>
      <c r="H56" s="38"/>
      <c r="I56" s="38"/>
      <c r="J56" s="38"/>
      <c r="K56" s="38"/>
      <c r="L56" s="38"/>
      <c r="M56" s="38"/>
      <c r="N56" s="38"/>
      <c r="O56" s="38"/>
      <c r="P56" s="38"/>
      <c r="Q56" s="38"/>
      <c r="R56" s="38"/>
      <c r="S56" s="38"/>
      <c r="T56" s="38"/>
      <c r="U56" s="38"/>
      <c r="V56" s="38"/>
    </row>
    <row r="57" spans="1:22" ht="12.75" customHeight="1">
      <c r="A57" s="38"/>
      <c r="B57" s="38"/>
      <c r="C57" s="38"/>
      <c r="D57" s="38"/>
      <c r="E57" s="38"/>
      <c r="F57" s="38"/>
      <c r="G57" s="38"/>
      <c r="H57" s="38"/>
      <c r="I57" s="38"/>
      <c r="J57" s="38"/>
      <c r="K57" s="38"/>
      <c r="L57" s="38"/>
      <c r="M57" s="38"/>
      <c r="N57" s="38"/>
      <c r="O57" s="38"/>
      <c r="P57" s="38"/>
      <c r="Q57" s="38"/>
      <c r="R57" s="38"/>
      <c r="S57" s="38"/>
      <c r="T57" s="38"/>
      <c r="U57" s="38"/>
      <c r="V57" s="38"/>
    </row>
    <row r="58" spans="1:22" ht="12.75" customHeight="1">
      <c r="A58" s="38"/>
      <c r="B58" s="38"/>
      <c r="C58" s="38"/>
      <c r="D58" s="38"/>
      <c r="E58" s="38"/>
      <c r="F58" s="38"/>
      <c r="G58" s="38"/>
      <c r="H58" s="38"/>
      <c r="I58" s="38"/>
      <c r="J58" s="38"/>
      <c r="K58" s="38"/>
      <c r="L58" s="38"/>
      <c r="M58" s="38"/>
      <c r="N58" s="38"/>
      <c r="O58" s="38"/>
      <c r="P58" s="38"/>
      <c r="Q58" s="38"/>
      <c r="R58" s="38"/>
      <c r="S58" s="38"/>
      <c r="T58" s="38"/>
      <c r="U58" s="38"/>
      <c r="V58" s="38"/>
    </row>
    <row r="59" spans="1:22" ht="12.75" customHeight="1">
      <c r="A59" s="38"/>
      <c r="B59" s="38"/>
      <c r="C59" s="38"/>
      <c r="D59" s="38"/>
      <c r="E59" s="38"/>
      <c r="F59" s="38"/>
      <c r="G59" s="38"/>
      <c r="H59" s="38"/>
      <c r="I59" s="38"/>
      <c r="J59" s="38"/>
      <c r="K59" s="38"/>
      <c r="L59" s="38"/>
      <c r="M59" s="38"/>
      <c r="N59" s="38"/>
      <c r="O59" s="38"/>
      <c r="P59" s="38"/>
      <c r="Q59" s="38"/>
      <c r="R59" s="38"/>
      <c r="S59" s="38"/>
      <c r="T59" s="38"/>
      <c r="U59" s="38"/>
      <c r="V59" s="38"/>
    </row>
    <row r="60" spans="1:22" ht="12.75" customHeight="1">
      <c r="A60" s="38"/>
      <c r="B60" s="38"/>
      <c r="C60" s="38"/>
      <c r="D60" s="38"/>
      <c r="E60" s="38"/>
      <c r="F60" s="38"/>
      <c r="G60" s="38"/>
      <c r="H60" s="38"/>
      <c r="I60" s="38"/>
      <c r="J60" s="38"/>
      <c r="K60" s="38"/>
      <c r="L60" s="38"/>
      <c r="M60" s="38"/>
      <c r="N60" s="38"/>
      <c r="O60" s="38"/>
      <c r="P60" s="38"/>
      <c r="Q60" s="38"/>
      <c r="R60" s="38"/>
      <c r="S60" s="38"/>
      <c r="T60" s="38"/>
      <c r="U60" s="38"/>
      <c r="V60" s="38"/>
    </row>
    <row r="61" spans="1:22" ht="12.75" customHeight="1">
      <c r="A61" s="38"/>
      <c r="B61" s="38"/>
      <c r="C61" s="38"/>
      <c r="D61" s="38"/>
      <c r="E61" s="38"/>
      <c r="F61" s="38"/>
      <c r="G61" s="38"/>
      <c r="H61" s="38"/>
      <c r="I61" s="38"/>
      <c r="J61" s="38"/>
      <c r="K61" s="38"/>
      <c r="L61" s="38"/>
      <c r="M61" s="38"/>
      <c r="N61" s="38"/>
      <c r="O61" s="38"/>
      <c r="P61" s="38"/>
      <c r="Q61" s="38"/>
      <c r="R61" s="38"/>
      <c r="S61" s="38"/>
      <c r="T61" s="38"/>
      <c r="U61" s="38"/>
      <c r="V61" s="38"/>
    </row>
    <row r="62" spans="1:22" ht="12.75" customHeight="1">
      <c r="A62" s="38"/>
      <c r="B62" s="38"/>
      <c r="C62" s="38"/>
      <c r="D62" s="38"/>
      <c r="E62" s="38"/>
      <c r="F62" s="38"/>
      <c r="G62" s="38"/>
      <c r="H62" s="38"/>
      <c r="I62" s="38"/>
      <c r="J62" s="38"/>
      <c r="K62" s="38"/>
      <c r="L62" s="38"/>
      <c r="M62" s="38"/>
      <c r="N62" s="38"/>
      <c r="O62" s="38"/>
      <c r="P62" s="38"/>
      <c r="Q62" s="38"/>
      <c r="R62" s="38"/>
      <c r="S62" s="38"/>
      <c r="T62" s="38"/>
      <c r="U62" s="38"/>
      <c r="V62" s="38"/>
    </row>
    <row r="63" spans="1:22" ht="12.75" customHeight="1">
      <c r="A63" s="38"/>
      <c r="B63" s="38"/>
      <c r="C63" s="38"/>
      <c r="D63" s="38"/>
      <c r="E63" s="38"/>
      <c r="F63" s="38"/>
      <c r="G63" s="38"/>
      <c r="H63" s="38"/>
      <c r="I63" s="38"/>
      <c r="J63" s="38"/>
      <c r="K63" s="38"/>
      <c r="L63" s="38"/>
      <c r="M63" s="38"/>
      <c r="N63" s="38"/>
      <c r="O63" s="38"/>
      <c r="P63" s="38"/>
      <c r="Q63" s="38"/>
      <c r="R63" s="38"/>
      <c r="S63" s="38"/>
      <c r="T63" s="38"/>
      <c r="U63" s="38"/>
      <c r="V63" s="38"/>
    </row>
    <row r="64" spans="1:22" ht="12.75" customHeight="1">
      <c r="A64" s="38"/>
      <c r="B64" s="38"/>
      <c r="C64" s="38"/>
      <c r="D64" s="38"/>
      <c r="E64" s="38"/>
      <c r="F64" s="38"/>
      <c r="G64" s="38"/>
      <c r="H64" s="38"/>
      <c r="I64" s="38"/>
      <c r="J64" s="38"/>
      <c r="K64" s="38"/>
      <c r="L64" s="38"/>
      <c r="M64" s="38"/>
      <c r="N64" s="38"/>
      <c r="O64" s="38"/>
      <c r="P64" s="38"/>
      <c r="Q64" s="38"/>
      <c r="R64" s="38"/>
      <c r="S64" s="38"/>
      <c r="T64" s="38"/>
      <c r="U64" s="38"/>
      <c r="V64" s="38"/>
    </row>
    <row r="65" spans="1:22" ht="12.75">
      <c r="A65" s="38"/>
      <c r="B65" s="38"/>
      <c r="C65" s="38"/>
      <c r="D65" s="38"/>
      <c r="E65" s="38"/>
      <c r="F65" s="38"/>
      <c r="G65" s="38"/>
      <c r="H65" s="38"/>
      <c r="I65" s="38"/>
      <c r="J65" s="38"/>
      <c r="K65" s="38"/>
      <c r="L65" s="38"/>
      <c r="M65" s="38"/>
      <c r="N65" s="38"/>
      <c r="O65" s="38"/>
      <c r="P65" s="38"/>
      <c r="Q65" s="38"/>
      <c r="R65" s="38"/>
      <c r="S65" s="38"/>
      <c r="T65" s="38"/>
      <c r="U65" s="38"/>
      <c r="V65" s="38"/>
    </row>
    <row r="66" spans="1:22" ht="12.75">
      <c r="A66" s="38"/>
      <c r="B66" s="38"/>
      <c r="C66" s="38"/>
      <c r="D66" s="38"/>
      <c r="E66" s="38"/>
      <c r="F66" s="38"/>
      <c r="G66" s="38"/>
      <c r="H66" s="38"/>
      <c r="I66" s="38"/>
      <c r="J66" s="38"/>
      <c r="K66" s="38"/>
      <c r="L66" s="38"/>
      <c r="M66" s="38"/>
      <c r="N66" s="38"/>
      <c r="O66" s="38"/>
      <c r="P66" s="38"/>
      <c r="Q66" s="38"/>
      <c r="R66" s="38"/>
      <c r="S66" s="38"/>
      <c r="T66" s="38"/>
      <c r="U66" s="38"/>
      <c r="V66" s="38"/>
    </row>
    <row r="67" spans="1:22" ht="12.75">
      <c r="A67" s="38"/>
      <c r="B67" s="38"/>
      <c r="C67" s="38"/>
      <c r="D67" s="38"/>
      <c r="E67" s="38"/>
      <c r="F67" s="38"/>
      <c r="G67" s="38"/>
      <c r="H67" s="38"/>
      <c r="I67" s="38"/>
      <c r="J67" s="38"/>
      <c r="K67" s="38"/>
      <c r="L67" s="38"/>
      <c r="M67" s="38"/>
      <c r="N67" s="38"/>
      <c r="O67" s="38"/>
      <c r="P67" s="38"/>
      <c r="Q67" s="38"/>
      <c r="R67" s="38"/>
      <c r="S67" s="38"/>
      <c r="T67" s="38"/>
      <c r="U67" s="38"/>
      <c r="V67" s="38"/>
    </row>
    <row r="68" spans="1:22" ht="12.75">
      <c r="A68" s="38"/>
      <c r="B68" s="38"/>
      <c r="C68" s="38"/>
      <c r="D68" s="38"/>
      <c r="E68" s="38"/>
      <c r="F68" s="38"/>
      <c r="G68" s="38"/>
      <c r="H68" s="38"/>
      <c r="I68" s="38"/>
      <c r="J68" s="38"/>
      <c r="K68" s="38"/>
      <c r="L68" s="38"/>
      <c r="M68" s="38"/>
      <c r="N68" s="38"/>
      <c r="O68" s="38"/>
      <c r="P68" s="38"/>
      <c r="Q68" s="38"/>
      <c r="R68" s="38"/>
      <c r="S68" s="38"/>
      <c r="T68" s="38"/>
      <c r="U68" s="38"/>
      <c r="V68" s="38"/>
    </row>
    <row r="69" spans="1:22" ht="12.75">
      <c r="A69" s="38"/>
      <c r="B69" s="38"/>
      <c r="C69" s="38"/>
      <c r="D69" s="38"/>
      <c r="E69" s="38"/>
      <c r="F69" s="38"/>
      <c r="G69" s="38"/>
      <c r="H69" s="38"/>
      <c r="I69" s="38"/>
      <c r="J69" s="38"/>
      <c r="K69" s="38"/>
      <c r="L69" s="38"/>
      <c r="M69" s="38"/>
      <c r="N69" s="38"/>
      <c r="O69" s="38"/>
      <c r="P69" s="38"/>
      <c r="Q69" s="38"/>
      <c r="R69" s="38"/>
      <c r="S69" s="38"/>
      <c r="T69" s="38"/>
      <c r="U69" s="38"/>
      <c r="V69" s="38"/>
    </row>
    <row r="70" spans="1:22" ht="12.75">
      <c r="A70" s="38"/>
      <c r="B70" s="38"/>
      <c r="C70" s="38"/>
      <c r="D70" s="38"/>
      <c r="E70" s="38"/>
      <c r="F70" s="38"/>
      <c r="G70" s="38"/>
      <c r="H70" s="38"/>
      <c r="I70" s="38"/>
      <c r="J70" s="38"/>
      <c r="K70" s="38"/>
      <c r="L70" s="38"/>
      <c r="M70" s="38"/>
      <c r="N70" s="38"/>
      <c r="O70" s="38"/>
      <c r="P70" s="38"/>
      <c r="Q70" s="38"/>
      <c r="R70" s="38"/>
      <c r="S70" s="38"/>
      <c r="T70" s="38"/>
      <c r="U70" s="38"/>
      <c r="V70" s="38"/>
    </row>
    <row r="71" spans="1:22" ht="12.75">
      <c r="A71" s="38"/>
      <c r="B71" s="38"/>
      <c r="C71" s="38"/>
      <c r="D71" s="38"/>
      <c r="E71" s="38"/>
      <c r="F71" s="38"/>
      <c r="G71" s="38"/>
      <c r="H71" s="38"/>
      <c r="I71" s="38"/>
      <c r="J71" s="38"/>
      <c r="K71" s="38"/>
      <c r="L71" s="38"/>
      <c r="M71" s="38"/>
      <c r="N71" s="38"/>
      <c r="O71" s="38"/>
      <c r="P71" s="38"/>
      <c r="Q71" s="38"/>
      <c r="R71" s="38"/>
      <c r="S71" s="38"/>
      <c r="T71" s="38"/>
      <c r="U71" s="38"/>
      <c r="V71" s="38"/>
    </row>
    <row r="72" spans="1:22" ht="12.75">
      <c r="A72" s="38"/>
      <c r="B72" s="38"/>
      <c r="C72" s="38"/>
      <c r="D72" s="38"/>
      <c r="E72" s="38"/>
      <c r="F72" s="38"/>
      <c r="G72" s="38"/>
      <c r="H72" s="38"/>
      <c r="I72" s="38"/>
      <c r="J72" s="38"/>
      <c r="K72" s="38"/>
      <c r="L72" s="38"/>
      <c r="M72" s="38"/>
      <c r="N72" s="38"/>
      <c r="O72" s="38"/>
      <c r="P72" s="38"/>
      <c r="Q72" s="38"/>
      <c r="R72" s="38"/>
      <c r="S72" s="38"/>
      <c r="T72" s="38"/>
      <c r="U72" s="38"/>
      <c r="V72" s="38"/>
    </row>
    <row r="73" spans="1:22" ht="12.75">
      <c r="A73" s="38"/>
      <c r="B73" s="38"/>
      <c r="C73" s="38"/>
      <c r="D73" s="38"/>
      <c r="E73" s="38"/>
      <c r="F73" s="38"/>
      <c r="G73" s="38"/>
      <c r="H73" s="38"/>
      <c r="I73" s="38"/>
      <c r="J73" s="38"/>
      <c r="K73" s="38"/>
      <c r="L73" s="38"/>
      <c r="M73" s="38"/>
      <c r="N73" s="38"/>
      <c r="O73" s="38"/>
      <c r="P73" s="38"/>
      <c r="Q73" s="38"/>
      <c r="R73" s="38"/>
      <c r="S73" s="38"/>
      <c r="T73" s="38"/>
      <c r="U73" s="38"/>
      <c r="V73" s="38"/>
    </row>
    <row r="74" spans="1:22" ht="12.75">
      <c r="A74" s="38"/>
      <c r="B74" s="38"/>
      <c r="C74" s="38"/>
      <c r="D74" s="38"/>
      <c r="E74" s="38"/>
      <c r="F74" s="38"/>
      <c r="G74" s="38"/>
      <c r="H74" s="38"/>
      <c r="I74" s="38"/>
      <c r="J74" s="38"/>
      <c r="K74" s="38"/>
      <c r="L74" s="38"/>
      <c r="M74" s="38"/>
      <c r="N74" s="38"/>
      <c r="O74" s="38"/>
      <c r="P74" s="38"/>
      <c r="Q74" s="38"/>
      <c r="R74" s="38"/>
      <c r="S74" s="38"/>
      <c r="T74" s="38"/>
      <c r="U74" s="38"/>
      <c r="V74" s="38"/>
    </row>
    <row r="75" spans="1:22" ht="12.75">
      <c r="A75" s="38"/>
      <c r="B75" s="38"/>
      <c r="C75" s="38"/>
      <c r="D75" s="38"/>
      <c r="E75" s="38"/>
      <c r="F75" s="38"/>
      <c r="G75" s="38"/>
      <c r="H75" s="38"/>
      <c r="I75" s="38"/>
      <c r="J75" s="38"/>
      <c r="K75" s="38"/>
      <c r="L75" s="38"/>
      <c r="M75" s="38"/>
      <c r="N75" s="38"/>
      <c r="O75" s="38"/>
      <c r="P75" s="38"/>
      <c r="Q75" s="38"/>
      <c r="R75" s="38"/>
      <c r="S75" s="38"/>
      <c r="T75" s="38"/>
      <c r="U75" s="38"/>
      <c r="V75" s="38"/>
    </row>
    <row r="76" spans="1:22" ht="12.75">
      <c r="A76" s="38"/>
      <c r="B76" s="38"/>
      <c r="C76" s="38"/>
      <c r="D76" s="38"/>
      <c r="E76" s="38"/>
      <c r="F76" s="38"/>
      <c r="G76" s="38"/>
      <c r="H76" s="38"/>
      <c r="I76" s="38"/>
      <c r="J76" s="38"/>
      <c r="K76" s="38"/>
      <c r="L76" s="38"/>
      <c r="M76" s="38"/>
      <c r="N76" s="38"/>
      <c r="O76" s="38"/>
      <c r="P76" s="38"/>
      <c r="Q76" s="38"/>
      <c r="R76" s="38"/>
      <c r="S76" s="38"/>
      <c r="T76" s="38"/>
      <c r="U76" s="38"/>
      <c r="V76" s="38"/>
    </row>
    <row r="77" spans="1:22" ht="12.75">
      <c r="A77" s="38"/>
      <c r="B77" s="38"/>
      <c r="C77" s="38"/>
      <c r="D77" s="38"/>
      <c r="E77" s="38"/>
      <c r="F77" s="38"/>
      <c r="G77" s="38"/>
      <c r="H77" s="38"/>
      <c r="I77" s="38"/>
      <c r="J77" s="38"/>
      <c r="K77" s="38"/>
      <c r="L77" s="38"/>
      <c r="M77" s="38"/>
      <c r="N77" s="38"/>
      <c r="O77" s="38"/>
      <c r="P77" s="38"/>
      <c r="Q77" s="38"/>
      <c r="R77" s="38"/>
      <c r="S77" s="38"/>
      <c r="T77" s="38"/>
      <c r="U77" s="38"/>
      <c r="V77" s="38"/>
    </row>
    <row r="78" spans="1:22" ht="12.75">
      <c r="A78" s="38"/>
      <c r="B78" s="38"/>
      <c r="C78" s="38"/>
      <c r="D78" s="38"/>
      <c r="E78" s="38"/>
      <c r="F78" s="38"/>
      <c r="G78" s="38"/>
      <c r="H78" s="38"/>
      <c r="I78" s="38"/>
      <c r="J78" s="38"/>
      <c r="K78" s="38"/>
      <c r="L78" s="38"/>
      <c r="M78" s="38"/>
      <c r="N78" s="38"/>
      <c r="O78" s="38"/>
      <c r="P78" s="38"/>
      <c r="Q78" s="38"/>
      <c r="R78" s="38"/>
      <c r="S78" s="38"/>
      <c r="T78" s="38"/>
      <c r="U78" s="38"/>
      <c r="V78" s="38"/>
    </row>
    <row r="79" spans="1:22" ht="12.75">
      <c r="A79" s="38"/>
      <c r="B79" s="38"/>
      <c r="C79" s="38"/>
      <c r="D79" s="38"/>
      <c r="E79" s="38"/>
      <c r="F79" s="38"/>
      <c r="G79" s="38"/>
      <c r="H79" s="38"/>
      <c r="I79" s="38"/>
      <c r="J79" s="38"/>
      <c r="K79" s="38"/>
      <c r="L79" s="38"/>
      <c r="M79" s="38"/>
      <c r="N79" s="38"/>
      <c r="O79" s="38"/>
      <c r="P79" s="38"/>
      <c r="Q79" s="38"/>
      <c r="R79" s="38"/>
      <c r="S79" s="38"/>
      <c r="T79" s="38"/>
      <c r="U79" s="38"/>
      <c r="V79" s="38"/>
    </row>
    <row r="80" spans="1:22" ht="12.75">
      <c r="A80" s="38"/>
      <c r="B80" s="38"/>
      <c r="C80" s="38"/>
      <c r="D80" s="38"/>
      <c r="E80" s="38"/>
      <c r="F80" s="38"/>
      <c r="G80" s="38"/>
      <c r="H80" s="38"/>
      <c r="I80" s="38"/>
      <c r="J80" s="38"/>
      <c r="K80" s="38"/>
      <c r="L80" s="38"/>
      <c r="M80" s="38"/>
      <c r="N80" s="38"/>
      <c r="O80" s="38"/>
      <c r="P80" s="38"/>
      <c r="Q80" s="38"/>
      <c r="R80" s="38"/>
      <c r="S80" s="38"/>
      <c r="T80" s="38"/>
      <c r="U80" s="38"/>
      <c r="V80" s="38"/>
    </row>
    <row r="81" spans="1:22" ht="12.75">
      <c r="A81" s="38"/>
      <c r="B81" s="38"/>
      <c r="C81" s="38"/>
      <c r="D81" s="38"/>
      <c r="E81" s="38"/>
      <c r="F81" s="38"/>
      <c r="G81" s="38"/>
      <c r="H81" s="38"/>
      <c r="I81" s="38"/>
      <c r="J81" s="38"/>
      <c r="K81" s="38"/>
      <c r="L81" s="38"/>
      <c r="M81" s="38"/>
      <c r="N81" s="38"/>
      <c r="O81" s="38"/>
      <c r="P81" s="38"/>
      <c r="Q81" s="38"/>
      <c r="R81" s="38"/>
      <c r="S81" s="38"/>
      <c r="T81" s="38"/>
      <c r="U81" s="38"/>
      <c r="V81" s="38"/>
    </row>
    <row r="82" spans="1:22" ht="12.75">
      <c r="A82" s="38"/>
      <c r="B82" s="38"/>
      <c r="C82" s="38"/>
      <c r="D82" s="38"/>
      <c r="E82" s="38"/>
      <c r="F82" s="38"/>
      <c r="G82" s="38"/>
      <c r="H82" s="38"/>
      <c r="I82" s="38"/>
      <c r="J82" s="38"/>
      <c r="K82" s="38"/>
      <c r="L82" s="38"/>
      <c r="M82" s="38"/>
      <c r="N82" s="38"/>
      <c r="O82" s="38"/>
      <c r="P82" s="38"/>
      <c r="Q82" s="38"/>
      <c r="R82" s="38"/>
      <c r="S82" s="38"/>
      <c r="T82" s="38"/>
      <c r="U82" s="38"/>
      <c r="V82" s="38"/>
    </row>
    <row r="83" spans="1:22" ht="12.75">
      <c r="A83" s="38"/>
      <c r="B83" s="38"/>
      <c r="C83" s="38"/>
      <c r="D83" s="38"/>
      <c r="E83" s="38"/>
      <c r="F83" s="38"/>
      <c r="G83" s="38"/>
      <c r="H83" s="38"/>
      <c r="I83" s="38"/>
      <c r="J83" s="38"/>
      <c r="K83" s="38"/>
      <c r="L83" s="38"/>
      <c r="M83" s="38"/>
      <c r="N83" s="38"/>
      <c r="O83" s="38"/>
      <c r="P83" s="38"/>
      <c r="Q83" s="38"/>
      <c r="R83" s="38"/>
      <c r="S83" s="38"/>
      <c r="T83" s="38"/>
      <c r="U83" s="38"/>
      <c r="V83" s="38"/>
    </row>
    <row r="84" spans="1:22" ht="12.75">
      <c r="A84" s="38"/>
      <c r="B84" s="38"/>
      <c r="C84" s="38"/>
      <c r="D84" s="38"/>
      <c r="E84" s="38"/>
      <c r="F84" s="38"/>
      <c r="G84" s="38"/>
      <c r="H84" s="38"/>
      <c r="I84" s="38"/>
      <c r="J84" s="38"/>
      <c r="K84" s="38"/>
      <c r="L84" s="38"/>
      <c r="M84" s="38"/>
      <c r="N84" s="38"/>
      <c r="O84" s="38"/>
      <c r="P84" s="38"/>
      <c r="Q84" s="38"/>
      <c r="R84" s="38"/>
      <c r="S84" s="38"/>
      <c r="T84" s="38"/>
      <c r="U84" s="38"/>
      <c r="V84" s="38"/>
    </row>
    <row r="85" spans="1:22" ht="12.75" customHeight="1">
      <c r="A85" s="38"/>
      <c r="B85" s="38"/>
      <c r="C85" s="38"/>
      <c r="D85" s="38"/>
      <c r="E85" s="38"/>
      <c r="F85" s="38"/>
      <c r="G85" s="38"/>
      <c r="H85" s="38"/>
      <c r="I85" s="38"/>
      <c r="J85" s="38"/>
      <c r="K85" s="38"/>
      <c r="L85" s="38"/>
      <c r="M85" s="38"/>
      <c r="N85" s="38"/>
      <c r="O85" s="38"/>
      <c r="P85" s="38"/>
      <c r="Q85" s="38"/>
      <c r="R85" s="38"/>
      <c r="S85" s="38"/>
      <c r="T85" s="38"/>
      <c r="U85" s="38"/>
      <c r="V85" s="38"/>
    </row>
    <row r="86" spans="1:22" ht="12.75" customHeight="1">
      <c r="A86" s="38"/>
      <c r="B86" s="38"/>
      <c r="C86" s="38"/>
      <c r="D86" s="38"/>
      <c r="E86" s="38"/>
      <c r="F86" s="38"/>
      <c r="G86" s="38"/>
      <c r="H86" s="38"/>
      <c r="I86" s="38"/>
      <c r="J86" s="38"/>
      <c r="K86" s="38"/>
      <c r="L86" s="38"/>
      <c r="M86" s="38"/>
      <c r="N86" s="38"/>
      <c r="O86" s="38"/>
      <c r="P86" s="38"/>
      <c r="Q86" s="38"/>
      <c r="R86" s="38"/>
      <c r="S86" s="38"/>
      <c r="T86" s="38"/>
      <c r="U86" s="38"/>
      <c r="V86" s="38"/>
    </row>
    <row r="87" spans="1:22" ht="12.75" customHeight="1">
      <c r="A87" s="38"/>
      <c r="B87" s="38"/>
      <c r="C87" s="38"/>
      <c r="D87" s="38"/>
      <c r="E87" s="38"/>
      <c r="F87" s="38"/>
      <c r="G87" s="38"/>
      <c r="H87" s="38"/>
      <c r="I87" s="38"/>
      <c r="J87" s="38"/>
      <c r="K87" s="38"/>
      <c r="L87" s="38"/>
      <c r="M87" s="38"/>
      <c r="N87" s="38"/>
      <c r="O87" s="38"/>
      <c r="P87" s="38"/>
      <c r="Q87" s="38"/>
      <c r="R87" s="38"/>
      <c r="S87" s="38"/>
      <c r="T87" s="38"/>
      <c r="U87" s="38"/>
      <c r="V87" s="38"/>
    </row>
    <row r="88" spans="1:22" ht="12.75">
      <c r="A88" s="38"/>
      <c r="B88" s="38"/>
      <c r="C88" s="38"/>
      <c r="D88" s="38"/>
      <c r="E88" s="38"/>
      <c r="F88" s="38"/>
      <c r="G88" s="38"/>
      <c r="H88" s="38"/>
      <c r="I88" s="38"/>
      <c r="J88" s="38"/>
      <c r="K88" s="38"/>
      <c r="L88" s="38"/>
      <c r="M88" s="38"/>
      <c r="N88" s="38"/>
      <c r="O88" s="38"/>
      <c r="P88" s="38"/>
      <c r="Q88" s="38"/>
      <c r="R88" s="38"/>
      <c r="S88" s="38"/>
      <c r="T88" s="38"/>
      <c r="U88" s="38"/>
      <c r="V88" s="38"/>
    </row>
    <row r="89" spans="1:22" ht="12.75">
      <c r="A89" s="38"/>
      <c r="B89" s="38"/>
      <c r="C89" s="38"/>
      <c r="D89" s="38"/>
      <c r="E89" s="38"/>
      <c r="F89" s="38"/>
      <c r="G89" s="38"/>
      <c r="H89" s="38"/>
      <c r="I89" s="38"/>
      <c r="J89" s="38"/>
      <c r="K89" s="38"/>
      <c r="L89" s="38"/>
      <c r="M89" s="38"/>
      <c r="N89" s="38"/>
      <c r="O89" s="38"/>
      <c r="P89" s="38"/>
      <c r="Q89" s="38"/>
      <c r="R89" s="38"/>
      <c r="S89" s="38"/>
      <c r="T89" s="38"/>
      <c r="U89" s="38"/>
      <c r="V89" s="38"/>
    </row>
    <row r="90" spans="1:22" ht="12.75">
      <c r="A90" s="38"/>
      <c r="B90" s="38"/>
      <c r="C90" s="38"/>
      <c r="D90" s="38"/>
      <c r="E90" s="38"/>
      <c r="F90" s="38"/>
      <c r="G90" s="38"/>
      <c r="H90" s="38"/>
      <c r="I90" s="38"/>
      <c r="J90" s="38"/>
      <c r="K90" s="38"/>
      <c r="L90" s="38"/>
      <c r="M90" s="38"/>
      <c r="N90" s="38"/>
      <c r="O90" s="38"/>
      <c r="P90" s="38"/>
      <c r="Q90" s="38"/>
      <c r="R90" s="38"/>
      <c r="S90" s="38"/>
      <c r="T90" s="38"/>
      <c r="U90" s="38"/>
      <c r="V90" s="38"/>
    </row>
    <row r="91" spans="1:22" ht="12.75">
      <c r="A91" s="38"/>
      <c r="B91" s="38"/>
      <c r="C91" s="38"/>
      <c r="D91" s="38"/>
      <c r="E91" s="38"/>
      <c r="F91" s="38"/>
      <c r="G91" s="38"/>
      <c r="H91" s="38"/>
      <c r="I91" s="38"/>
      <c r="J91" s="38"/>
      <c r="K91" s="38"/>
      <c r="L91" s="38"/>
      <c r="M91" s="38"/>
      <c r="N91" s="38"/>
      <c r="O91" s="38"/>
      <c r="P91" s="38"/>
      <c r="Q91" s="38"/>
      <c r="R91" s="38"/>
      <c r="S91" s="38"/>
      <c r="T91" s="38"/>
      <c r="U91" s="38"/>
      <c r="V91" s="38"/>
    </row>
    <row r="92" spans="1:22" ht="12.75">
      <c r="A92" s="38"/>
      <c r="B92" s="38"/>
      <c r="C92" s="38"/>
      <c r="D92" s="38"/>
      <c r="E92" s="38"/>
      <c r="F92" s="38"/>
      <c r="G92" s="38"/>
      <c r="H92" s="38"/>
      <c r="I92" s="38"/>
      <c r="J92" s="38"/>
      <c r="K92" s="38"/>
      <c r="L92" s="38"/>
      <c r="M92" s="38"/>
      <c r="N92" s="38"/>
      <c r="O92" s="38"/>
      <c r="P92" s="38"/>
      <c r="Q92" s="38"/>
      <c r="R92" s="38"/>
      <c r="S92" s="38"/>
      <c r="T92" s="38"/>
      <c r="U92" s="38"/>
      <c r="V92" s="38"/>
    </row>
    <row r="93" spans="1:22" ht="12.75">
      <c r="A93" s="38"/>
      <c r="B93" s="38"/>
      <c r="C93" s="38"/>
      <c r="D93" s="38"/>
      <c r="E93" s="38"/>
      <c r="F93" s="38"/>
      <c r="G93" s="38"/>
      <c r="H93" s="38"/>
      <c r="I93" s="38"/>
      <c r="J93" s="38"/>
      <c r="K93" s="38"/>
      <c r="L93" s="38"/>
      <c r="M93" s="38"/>
      <c r="N93" s="38"/>
      <c r="O93" s="38"/>
      <c r="P93" s="38"/>
      <c r="Q93" s="38"/>
      <c r="R93" s="38"/>
      <c r="S93" s="38"/>
      <c r="T93" s="38"/>
      <c r="U93" s="38"/>
      <c r="V93" s="38"/>
    </row>
    <row r="94" spans="1:22" ht="12.75">
      <c r="A94" s="38"/>
      <c r="B94" s="38"/>
      <c r="C94" s="38"/>
      <c r="D94" s="38"/>
      <c r="E94" s="38"/>
      <c r="F94" s="38"/>
      <c r="G94" s="38"/>
      <c r="H94" s="38"/>
      <c r="I94" s="38"/>
      <c r="J94" s="38"/>
      <c r="K94" s="38"/>
      <c r="L94" s="38"/>
      <c r="M94" s="38"/>
      <c r="N94" s="38"/>
      <c r="O94" s="38"/>
      <c r="P94" s="38"/>
      <c r="Q94" s="38"/>
      <c r="R94" s="38"/>
      <c r="S94" s="38"/>
      <c r="T94" s="38"/>
      <c r="U94" s="38"/>
      <c r="V94" s="38"/>
    </row>
    <row r="95" spans="1:22" ht="12.75">
      <c r="A95" s="38"/>
      <c r="B95" s="38"/>
      <c r="C95" s="38"/>
      <c r="D95" s="38"/>
      <c r="E95" s="38"/>
      <c r="F95" s="38"/>
      <c r="G95" s="38"/>
      <c r="H95" s="38"/>
      <c r="I95" s="38"/>
      <c r="J95" s="38"/>
      <c r="K95" s="38"/>
      <c r="L95" s="38"/>
      <c r="M95" s="38"/>
      <c r="N95" s="38"/>
      <c r="O95" s="38"/>
      <c r="P95" s="38"/>
      <c r="Q95" s="38"/>
      <c r="R95" s="38"/>
      <c r="S95" s="38"/>
      <c r="T95" s="38"/>
      <c r="U95" s="38"/>
      <c r="V95" s="38"/>
    </row>
    <row r="96" spans="1:22" ht="12.75">
      <c r="A96" s="38"/>
      <c r="B96" s="38"/>
      <c r="C96" s="38"/>
      <c r="D96" s="38"/>
      <c r="E96" s="38"/>
      <c r="F96" s="38"/>
      <c r="G96" s="38"/>
      <c r="H96" s="38"/>
      <c r="I96" s="38"/>
      <c r="J96" s="38"/>
      <c r="K96" s="38"/>
      <c r="L96" s="38"/>
      <c r="M96" s="38"/>
      <c r="N96" s="38"/>
      <c r="O96" s="38"/>
      <c r="P96" s="38"/>
      <c r="Q96" s="38"/>
      <c r="R96" s="38"/>
      <c r="S96" s="38"/>
      <c r="T96" s="38"/>
      <c r="U96" s="38"/>
      <c r="V96" s="38"/>
    </row>
    <row r="97" spans="1:22" ht="12.75">
      <c r="A97" s="38"/>
      <c r="B97" s="38"/>
      <c r="C97" s="38"/>
      <c r="D97" s="38"/>
      <c r="E97" s="38"/>
      <c r="F97" s="38"/>
      <c r="G97" s="38"/>
      <c r="H97" s="38"/>
      <c r="I97" s="38"/>
      <c r="J97" s="38"/>
      <c r="K97" s="38"/>
      <c r="L97" s="38"/>
      <c r="M97" s="38"/>
      <c r="N97" s="38"/>
      <c r="O97" s="38"/>
      <c r="P97" s="38"/>
      <c r="Q97" s="38"/>
      <c r="R97" s="38"/>
      <c r="S97" s="38"/>
      <c r="T97" s="38"/>
      <c r="U97" s="38"/>
      <c r="V97" s="38"/>
    </row>
    <row r="98" spans="1:22" ht="12.75">
      <c r="A98" s="38"/>
      <c r="B98" s="38"/>
      <c r="C98" s="38"/>
      <c r="D98" s="38"/>
      <c r="E98" s="38"/>
      <c r="F98" s="38"/>
      <c r="G98" s="38"/>
      <c r="H98" s="38"/>
      <c r="I98" s="38"/>
      <c r="J98" s="38"/>
      <c r="K98" s="38"/>
      <c r="L98" s="38"/>
      <c r="M98" s="38"/>
      <c r="N98" s="38"/>
      <c r="O98" s="38"/>
      <c r="P98" s="38"/>
      <c r="Q98" s="38"/>
      <c r="R98" s="38"/>
      <c r="S98" s="38"/>
      <c r="T98" s="38"/>
      <c r="U98" s="38"/>
      <c r="V98" s="38"/>
    </row>
  </sheetData>
  <mergeCells count="6">
    <mergeCell ref="C49:J49"/>
    <mergeCell ref="A2:N2"/>
    <mergeCell ref="A3:N3"/>
    <mergeCell ref="A4:N4"/>
    <mergeCell ref="A5:N5"/>
    <mergeCell ref="C47:J47"/>
  </mergeCells>
  <printOptions horizontalCentered="1"/>
  <pageMargins left="0.25" right="0.25" top="1" bottom="0.25" header="0.67" footer="0.5"/>
  <pageSetup scale="50" orientation="portrait" r:id="rId1"/>
  <headerFooter alignWithMargins="0">
    <oddHeader xml:space="preserve">&amp;R&amp;12AEP - SPP Formula Rate
TCOS - WS H
Page: &amp;P of &amp;N&amp;10
</oddHeader>
    <oddFooter xml:space="preserve">&amp;C &amp;R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81" zoomScaleNormal="81" zoomScaleSheetLayoutView="100" zoomScalePageLayoutView="81" workbookViewId="0">
      <selection activeCell="O34" sqref="O34"/>
    </sheetView>
  </sheetViews>
  <sheetFormatPr defaultRowHeight="12.75"/>
  <cols>
    <col min="1" max="1" width="3.5703125" style="163" customWidth="1"/>
    <col min="2" max="2" width="7.28515625" style="163" customWidth="1"/>
    <col min="3" max="3" width="2.42578125" style="163" customWidth="1"/>
    <col min="4" max="4" width="17.85546875" style="163" customWidth="1"/>
    <col min="5" max="5" width="26.42578125" style="163" customWidth="1"/>
    <col min="6" max="6" width="24.140625" style="163" bestFit="1" customWidth="1"/>
    <col min="7" max="7" width="22.85546875" style="163" customWidth="1"/>
    <col min="8" max="8" width="7.42578125" style="163" customWidth="1"/>
    <col min="9" max="16384" width="9.140625" style="163"/>
  </cols>
  <sheetData>
    <row r="1" spans="1:11" ht="19.5" customHeight="1">
      <c r="A1" s="1556" t="str">
        <f>+'SWEPCO TCOS'!F3</f>
        <v xml:space="preserve">AEP West SPP Member Operating Companies </v>
      </c>
      <c r="B1" s="1556"/>
      <c r="C1" s="1556"/>
      <c r="D1" s="1556"/>
      <c r="E1" s="1556"/>
      <c r="F1" s="1556"/>
      <c r="G1" s="1556"/>
      <c r="H1" s="1556"/>
      <c r="I1" s="51"/>
      <c r="J1" s="51"/>
      <c r="K1" s="51"/>
    </row>
    <row r="2" spans="1:11" ht="15">
      <c r="A2" s="1553" t="str">
        <f>+'SWEPCO WS A RB Support '!A2:G2</f>
        <v xml:space="preserve">Actual / Projected 2019 Rate Year Cost of Service Formula Rate </v>
      </c>
      <c r="B2" s="1553"/>
      <c r="C2" s="1553"/>
      <c r="D2" s="1553"/>
      <c r="E2" s="1553"/>
      <c r="F2" s="1553"/>
      <c r="G2" s="1553"/>
      <c r="H2" s="1553"/>
      <c r="I2" s="420"/>
      <c r="J2" s="420"/>
      <c r="K2" s="420"/>
    </row>
    <row r="3" spans="1:11" ht="15.75">
      <c r="A3" s="1554" t="s">
        <v>133</v>
      </c>
      <c r="B3" s="1553"/>
      <c r="C3" s="1553"/>
      <c r="D3" s="1553"/>
      <c r="E3" s="1553"/>
      <c r="F3" s="1553"/>
      <c r="G3" s="1553"/>
      <c r="H3" s="1553"/>
      <c r="I3" s="420"/>
      <c r="J3" s="420"/>
      <c r="K3" s="420"/>
    </row>
    <row r="4" spans="1:11" ht="15.75">
      <c r="A4" s="1574" t="str">
        <f>+'SWEPCO TCOS'!F7</f>
        <v>SOUTHWESTERN ELECTRIC POWER COMPANY</v>
      </c>
      <c r="B4" s="1574"/>
      <c r="C4" s="1574"/>
      <c r="D4" s="1574"/>
      <c r="E4" s="1574"/>
      <c r="F4" s="1574"/>
      <c r="G4" s="1574"/>
      <c r="H4" s="1574"/>
      <c r="I4" s="421"/>
      <c r="J4" s="421"/>
      <c r="K4" s="421"/>
    </row>
    <row r="5" spans="1:11" ht="15">
      <c r="D5" s="38"/>
      <c r="G5" s="192"/>
      <c r="H5" s="51"/>
      <c r="I5" s="51"/>
    </row>
    <row r="6" spans="1:11" ht="54" customHeight="1">
      <c r="A6" s="820"/>
      <c r="B6" s="1598" t="s">
        <v>1149</v>
      </c>
      <c r="C6" s="1598"/>
      <c r="D6" s="1598"/>
      <c r="E6" s="1598"/>
      <c r="F6" s="1598"/>
      <c r="G6" s="1598"/>
      <c r="H6" s="820"/>
      <c r="I6" s="51"/>
    </row>
    <row r="7" spans="1:11" ht="18">
      <c r="A7" s="385"/>
      <c r="B7" s="385"/>
      <c r="C7" s="385"/>
      <c r="D7" s="385"/>
      <c r="E7" s="385"/>
      <c r="F7" s="385"/>
      <c r="G7" s="385"/>
      <c r="H7" s="385"/>
      <c r="I7" s="51"/>
    </row>
    <row r="8" spans="1:11" ht="18">
      <c r="A8" s="385"/>
      <c r="B8" s="385"/>
      <c r="C8" s="385"/>
      <c r="D8" s="385"/>
      <c r="E8" s="385"/>
      <c r="F8" s="385"/>
      <c r="G8" s="385"/>
      <c r="H8" s="385"/>
      <c r="I8" s="51"/>
    </row>
    <row r="9" spans="1:11" ht="18">
      <c r="A9" s="385"/>
      <c r="B9" s="181" t="s">
        <v>345</v>
      </c>
      <c r="D9" s="1597" t="s">
        <v>338</v>
      </c>
      <c r="E9" s="1597"/>
      <c r="G9" s="113" t="s">
        <v>339</v>
      </c>
      <c r="H9" s="385"/>
      <c r="I9" s="51"/>
    </row>
    <row r="10" spans="1:11" ht="18">
      <c r="A10" s="385"/>
      <c r="B10" s="181" t="s">
        <v>283</v>
      </c>
      <c r="D10" s="1596" t="s">
        <v>343</v>
      </c>
      <c r="E10" s="1596"/>
      <c r="G10" s="181">
        <f>+'SWEPCO TCOS'!N1</f>
        <v>2019</v>
      </c>
      <c r="H10" s="385"/>
      <c r="I10" s="51"/>
    </row>
    <row r="11" spans="1:11" ht="15">
      <c r="B11" s="199">
        <v>1</v>
      </c>
      <c r="C11" s="899"/>
      <c r="H11" s="51"/>
      <c r="I11" s="51"/>
    </row>
    <row r="12" spans="1:11" ht="15">
      <c r="B12" s="199">
        <f t="shared" ref="B12:B19" si="0">B11+1</f>
        <v>2</v>
      </c>
      <c r="D12" s="1114"/>
      <c r="E12" s="1194"/>
      <c r="G12" s="1162"/>
      <c r="H12" s="51"/>
      <c r="I12" s="51"/>
    </row>
    <row r="13" spans="1:11" ht="15">
      <c r="B13" s="199">
        <f t="shared" si="0"/>
        <v>3</v>
      </c>
      <c r="D13" s="1114"/>
      <c r="E13" s="1194"/>
      <c r="G13" s="1162"/>
      <c r="H13" s="51"/>
      <c r="I13" s="51"/>
    </row>
    <row r="14" spans="1:11" ht="15">
      <c r="B14" s="199">
        <f t="shared" si="0"/>
        <v>4</v>
      </c>
      <c r="D14" s="1114"/>
      <c r="E14" s="1194"/>
      <c r="G14" s="1162"/>
      <c r="H14" s="51"/>
      <c r="I14" s="51"/>
    </row>
    <row r="15" spans="1:11" ht="15">
      <c r="B15" s="199">
        <f t="shared" si="0"/>
        <v>5</v>
      </c>
      <c r="D15" s="1114"/>
      <c r="E15" s="1194"/>
      <c r="G15" s="1162"/>
      <c r="H15" s="51"/>
      <c r="I15" s="51"/>
    </row>
    <row r="16" spans="1:11" ht="15">
      <c r="B16" s="199">
        <f t="shared" si="0"/>
        <v>6</v>
      </c>
      <c r="D16" s="1114"/>
      <c r="E16" s="1194"/>
      <c r="G16" s="1162"/>
      <c r="H16" s="51"/>
      <c r="I16" s="51"/>
    </row>
    <row r="17" spans="2:9" ht="15">
      <c r="B17" s="199">
        <f t="shared" si="0"/>
        <v>7</v>
      </c>
      <c r="D17" s="1114"/>
      <c r="E17" s="1194"/>
      <c r="G17" s="1162"/>
      <c r="H17" s="51"/>
      <c r="I17" s="51"/>
    </row>
    <row r="18" spans="2:9" ht="15">
      <c r="B18" s="199">
        <f t="shared" si="0"/>
        <v>8</v>
      </c>
      <c r="D18" s="1114"/>
      <c r="E18" s="1194"/>
      <c r="G18" s="1162"/>
      <c r="H18" s="51"/>
      <c r="I18" s="51"/>
    </row>
    <row r="19" spans="2:9" ht="15">
      <c r="B19" s="199">
        <f t="shared" si="0"/>
        <v>9</v>
      </c>
      <c r="D19" s="1114"/>
      <c r="E19" s="1194"/>
      <c r="G19" s="1162"/>
      <c r="H19" s="51"/>
      <c r="I19" s="51"/>
    </row>
    <row r="20" spans="2:9" ht="15">
      <c r="B20" s="199">
        <f>+B19+1</f>
        <v>10</v>
      </c>
      <c r="D20" s="200" t="s">
        <v>295</v>
      </c>
      <c r="F20" s="163" t="str">
        <f>"( sum of lines "&amp;B12&amp;"  through "&amp;B19&amp;" )"</f>
        <v>( sum of lines 2  through 9 )</v>
      </c>
      <c r="G20" s="1195">
        <f>SUM(G12:G19)</f>
        <v>0</v>
      </c>
      <c r="H20" s="51"/>
      <c r="I20" s="51"/>
    </row>
    <row r="21" spans="2:9" ht="15">
      <c r="B21" s="199"/>
      <c r="G21" s="1196"/>
      <c r="H21" s="51"/>
      <c r="I21" s="51"/>
    </row>
    <row r="22" spans="2:9" s="520" customFormat="1" ht="15" customHeight="1"/>
    <row r="23" spans="2:9" s="520" customFormat="1"/>
    <row r="24" spans="2:9" s="520" customFormat="1"/>
    <row r="25" spans="2:9" s="520" customFormat="1" ht="23.25" customHeight="1"/>
    <row r="26" spans="2:9" s="520" customFormat="1"/>
    <row r="27" spans="2:9" s="520" customFormat="1"/>
    <row r="28" spans="2:9" s="520" customFormat="1"/>
    <row r="29" spans="2:9" s="520" customFormat="1"/>
  </sheetData>
  <mergeCells count="7">
    <mergeCell ref="D10:E10"/>
    <mergeCell ref="A1:H1"/>
    <mergeCell ref="A2:H2"/>
    <mergeCell ref="A3:H3"/>
    <mergeCell ref="A4:H4"/>
    <mergeCell ref="B6:G6"/>
    <mergeCell ref="D9:E9"/>
  </mergeCells>
  <printOptions horizontalCentered="1"/>
  <pageMargins left="0.75" right="0.75" top="1" bottom="0.25" header="0.65" footer="0.5"/>
  <pageSetup scale="80" orientation="portrait" r:id="rId1"/>
  <headerFooter alignWithMargins="0">
    <oddHeader xml:space="preserve">&amp;R&amp;12AEP - SPP Formula Rate
TCOS - WS I
Page: &amp;P of &amp;N&amp;16
</oddHeader>
    <oddFooter xml:space="preserve">&amp;C &amp;R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6"/>
  <sheetViews>
    <sheetView topLeftCell="A9" zoomScale="70" zoomScaleNormal="70" zoomScaleSheetLayoutView="75" workbookViewId="0">
      <selection activeCell="O34" sqref="O34"/>
    </sheetView>
  </sheetViews>
  <sheetFormatPr defaultRowHeight="15"/>
  <cols>
    <col min="1" max="1" width="10.42578125" style="1295" customWidth="1"/>
    <col min="2" max="2" width="12.7109375" style="1288" customWidth="1"/>
    <col min="3" max="3" width="59.28515625" style="1282" customWidth="1"/>
    <col min="4" max="4" width="17.85546875" style="1282" customWidth="1"/>
    <col min="5" max="5" width="24.42578125" style="1282" customWidth="1"/>
    <col min="6" max="6" width="17.28515625" style="1282" customWidth="1"/>
    <col min="7" max="7" width="42" style="1282" customWidth="1"/>
    <col min="8" max="8" width="13.85546875" style="1282" customWidth="1"/>
    <col min="9" max="10" width="12.7109375" style="1282" customWidth="1"/>
    <col min="11" max="11" width="13.28515625" style="1282" customWidth="1"/>
    <col min="12" max="19" width="9.140625" style="1282"/>
    <col min="20" max="20" width="9.28515625" bestFit="1" customWidth="1"/>
    <col min="21" max="21" width="8.85546875" customWidth="1"/>
    <col min="22" max="22" width="9.28515625" bestFit="1" customWidth="1"/>
    <col min="23" max="23" width="8.85546875" customWidth="1"/>
    <col min="24" max="24" width="10.85546875" bestFit="1" customWidth="1"/>
    <col min="25" max="25" width="8.85546875" customWidth="1"/>
    <col min="26" max="26" width="10.85546875" bestFit="1" customWidth="1"/>
    <col min="27" max="27" width="8.85546875" customWidth="1"/>
    <col min="28" max="28" width="10.7109375" bestFit="1" customWidth="1"/>
    <col min="29" max="29" width="8.85546875" customWidth="1"/>
    <col min="30" max="30" width="9.28515625" bestFit="1" customWidth="1"/>
    <col min="31" max="31" width="8.85546875" customWidth="1"/>
    <col min="32" max="32" width="11.5703125" bestFit="1" customWidth="1"/>
    <col min="33" max="33" width="8.85546875" customWidth="1"/>
    <col min="34" max="34" width="11.5703125" bestFit="1" customWidth="1"/>
    <col min="35" max="35" width="8.85546875" customWidth="1"/>
    <col min="36" max="36" width="11" bestFit="1" customWidth="1"/>
    <col min="37" max="37" width="8.85546875" customWidth="1"/>
    <col min="38" max="38" width="9.28515625" bestFit="1" customWidth="1"/>
    <col min="39" max="39" width="8.85546875" customWidth="1"/>
    <col min="40" max="40" width="11.5703125" bestFit="1" customWidth="1"/>
    <col min="41" max="43" width="8.85546875" customWidth="1"/>
    <col min="44" max="16384" width="9.140625" style="1282"/>
  </cols>
  <sheetData>
    <row r="1" spans="1:11" ht="23.25" customHeight="1">
      <c r="A1" s="1600" t="str">
        <f>+'SWEPCO WS H Rev Credits'!A2:N2</f>
        <v xml:space="preserve">AEP West SPP Member Operating Companies </v>
      </c>
      <c r="B1" s="1600"/>
      <c r="C1" s="1600"/>
      <c r="D1" s="1600"/>
      <c r="E1" s="1600"/>
      <c r="F1" s="1600"/>
      <c r="G1" s="1600"/>
      <c r="H1" s="324"/>
    </row>
    <row r="2" spans="1:11" ht="18.75" customHeight="1">
      <c r="A2" s="1600" t="str">
        <f>+'SWEPCO WS A RB Support '!A2:G2</f>
        <v xml:space="preserve">Actual / Projected 2019 Rate Year Cost of Service Formula Rate </v>
      </c>
      <c r="B2" s="1600"/>
      <c r="C2" s="1600"/>
      <c r="D2" s="1600"/>
      <c r="E2" s="1600"/>
      <c r="F2" s="1600"/>
      <c r="G2" s="1600"/>
      <c r="H2" s="384"/>
      <c r="I2" s="384"/>
      <c r="J2" s="384"/>
      <c r="K2" s="384"/>
    </row>
    <row r="3" spans="1:11" ht="19.5" customHeight="1">
      <c r="A3" s="1601" t="s">
        <v>134</v>
      </c>
      <c r="B3" s="1600"/>
      <c r="C3" s="1600"/>
      <c r="D3" s="1600"/>
      <c r="E3" s="1600"/>
      <c r="F3" s="1600"/>
      <c r="G3" s="1600"/>
    </row>
    <row r="4" spans="1:11" ht="18" customHeight="1">
      <c r="A4" s="1574" t="str">
        <f>+'SWEPCO WS A RB Support '!A4:F4</f>
        <v>SOUTHWESTERN ELECTRIC POWER COMPANY</v>
      </c>
      <c r="B4" s="1574"/>
      <c r="C4" s="1574"/>
      <c r="D4" s="1574"/>
      <c r="E4" s="1574"/>
      <c r="F4" s="1574"/>
      <c r="G4" s="1574"/>
    </row>
    <row r="5" spans="1:11" ht="12.75" customHeight="1">
      <c r="A5" s="1556"/>
      <c r="B5" s="1556"/>
      <c r="C5" s="1556"/>
      <c r="D5" s="1556"/>
      <c r="E5" s="1556"/>
      <c r="F5" s="1556"/>
      <c r="G5" s="1292"/>
    </row>
    <row r="6" spans="1:11" ht="18">
      <c r="A6" s="1563"/>
      <c r="B6" s="1563"/>
      <c r="C6" s="1563"/>
      <c r="D6" s="1563"/>
      <c r="E6" s="1563"/>
      <c r="F6" s="1563"/>
      <c r="G6" s="1563"/>
    </row>
    <row r="7" spans="1:11" ht="18">
      <c r="A7" s="385"/>
      <c r="B7" s="385"/>
      <c r="C7" s="385"/>
      <c r="D7" s="385"/>
      <c r="E7" s="385"/>
      <c r="F7" s="385"/>
      <c r="G7" s="385"/>
    </row>
    <row r="8" spans="1:11" ht="15.75">
      <c r="B8" s="1291" t="s">
        <v>338</v>
      </c>
      <c r="C8" s="1291" t="s">
        <v>339</v>
      </c>
      <c r="D8" s="1291" t="s">
        <v>340</v>
      </c>
      <c r="E8" s="1291" t="s">
        <v>341</v>
      </c>
      <c r="F8" s="1291" t="s">
        <v>266</v>
      </c>
      <c r="G8" s="1291" t="s">
        <v>267</v>
      </c>
    </row>
    <row r="9" spans="1:11" ht="15.75">
      <c r="B9" s="1294"/>
      <c r="C9" s="1292"/>
      <c r="D9" s="1303"/>
      <c r="E9" s="1304"/>
      <c r="F9" s="1305" t="s">
        <v>269</v>
      </c>
      <c r="G9" s="1291"/>
    </row>
    <row r="10" spans="1:11" ht="15.75">
      <c r="A10" s="1296" t="s">
        <v>345</v>
      </c>
      <c r="B10" s="1296" t="s">
        <v>176</v>
      </c>
      <c r="C10" s="1197"/>
      <c r="D10" s="1296">
        <f>+'SWEPCO TCOS'!N1</f>
        <v>2019</v>
      </c>
      <c r="E10" s="1305" t="s">
        <v>269</v>
      </c>
      <c r="F10" s="1296" t="s">
        <v>292</v>
      </c>
      <c r="G10" s="1291" t="s">
        <v>476</v>
      </c>
    </row>
    <row r="11" spans="1:11" ht="15.75">
      <c r="A11" s="1296" t="s">
        <v>283</v>
      </c>
      <c r="B11" s="1296" t="s">
        <v>177</v>
      </c>
      <c r="C11" s="1296" t="s">
        <v>343</v>
      </c>
      <c r="D11" s="1296" t="s">
        <v>252</v>
      </c>
      <c r="E11" s="1296" t="s">
        <v>271</v>
      </c>
      <c r="F11" s="1296" t="s">
        <v>253</v>
      </c>
      <c r="G11" s="1198" t="s">
        <v>477</v>
      </c>
    </row>
    <row r="12" spans="1:11" ht="15.75">
      <c r="B12" s="1296"/>
      <c r="C12" s="1296"/>
      <c r="D12" s="1296"/>
      <c r="E12" s="1296"/>
      <c r="F12" s="1296"/>
      <c r="G12" s="1296"/>
    </row>
    <row r="13" spans="1:11" ht="15.75">
      <c r="B13" s="1295"/>
      <c r="C13" s="133" t="s">
        <v>398</v>
      </c>
      <c r="D13" s="1292"/>
      <c r="E13" s="1292"/>
      <c r="F13" s="1292"/>
      <c r="G13" s="1292"/>
    </row>
    <row r="14" spans="1:11" ht="15.75">
      <c r="A14" s="1365">
        <v>1</v>
      </c>
      <c r="B14" s="1199">
        <v>928</v>
      </c>
      <c r="C14" s="1200" t="s">
        <v>1078</v>
      </c>
      <c r="D14" s="876">
        <f>+'[4]Inputs 2019'!H313</f>
        <v>428928.07</v>
      </c>
      <c r="E14" s="876">
        <f>+D14</f>
        <v>428928.07</v>
      </c>
      <c r="F14" s="876">
        <v>0</v>
      </c>
      <c r="G14" s="877"/>
      <c r="I14" s="1364"/>
      <c r="J14" s="1364"/>
    </row>
    <row r="15" spans="1:11" ht="15.75">
      <c r="A15" s="1365">
        <f t="shared" ref="A15:A28" si="0">+A14+1</f>
        <v>2</v>
      </c>
      <c r="B15" s="874"/>
      <c r="C15" s="875"/>
      <c r="D15" s="876"/>
      <c r="E15" s="876"/>
      <c r="F15" s="876"/>
      <c r="G15" s="877"/>
      <c r="I15" s="1364"/>
      <c r="J15" s="1364"/>
    </row>
    <row r="16" spans="1:11">
      <c r="A16" s="1365">
        <f t="shared" si="0"/>
        <v>3</v>
      </c>
      <c r="B16" s="874"/>
      <c r="C16" s="875"/>
      <c r="D16" s="876"/>
      <c r="E16" s="876"/>
      <c r="F16" s="876"/>
      <c r="G16" s="877"/>
    </row>
    <row r="17" spans="1:8">
      <c r="A17" s="1365">
        <f t="shared" si="0"/>
        <v>4</v>
      </c>
      <c r="B17" s="874"/>
      <c r="C17" s="875"/>
      <c r="D17" s="876"/>
      <c r="E17" s="876"/>
      <c r="F17" s="876"/>
      <c r="G17" s="877"/>
    </row>
    <row r="18" spans="1:8">
      <c r="A18" s="1365">
        <f t="shared" si="0"/>
        <v>5</v>
      </c>
      <c r="B18" s="874"/>
      <c r="C18" s="875"/>
      <c r="D18" s="876"/>
      <c r="E18" s="876"/>
      <c r="F18" s="876"/>
      <c r="G18" s="877"/>
    </row>
    <row r="19" spans="1:8">
      <c r="A19" s="1365">
        <f t="shared" si="0"/>
        <v>6</v>
      </c>
      <c r="B19" s="874"/>
      <c r="C19" s="875"/>
      <c r="D19" s="876"/>
      <c r="E19" s="876"/>
      <c r="F19" s="876"/>
      <c r="G19" s="877"/>
    </row>
    <row r="20" spans="1:8">
      <c r="A20" s="1365">
        <f t="shared" si="0"/>
        <v>7</v>
      </c>
      <c r="B20" s="874"/>
      <c r="C20" s="875"/>
      <c r="D20" s="876"/>
      <c r="E20" s="876"/>
      <c r="F20" s="876"/>
      <c r="G20" s="877"/>
    </row>
    <row r="21" spans="1:8">
      <c r="A21" s="1365">
        <f t="shared" si="0"/>
        <v>8</v>
      </c>
      <c r="B21" s="874"/>
      <c r="C21" s="875"/>
      <c r="D21" s="876"/>
      <c r="E21" s="876"/>
      <c r="F21" s="876"/>
      <c r="G21" s="877"/>
    </row>
    <row r="22" spans="1:8">
      <c r="A22" s="1365">
        <f t="shared" si="0"/>
        <v>9</v>
      </c>
      <c r="B22" s="874"/>
      <c r="C22" s="875"/>
      <c r="D22" s="876"/>
      <c r="E22" s="876"/>
      <c r="F22" s="876"/>
      <c r="G22" s="877"/>
    </row>
    <row r="23" spans="1:8">
      <c r="A23" s="1365">
        <f t="shared" si="0"/>
        <v>10</v>
      </c>
      <c r="B23" s="874"/>
      <c r="C23" s="875"/>
      <c r="D23" s="878"/>
      <c r="E23" s="876"/>
      <c r="F23" s="876"/>
      <c r="G23" s="877"/>
    </row>
    <row r="24" spans="1:8">
      <c r="A24" s="1365">
        <f t="shared" si="0"/>
        <v>11</v>
      </c>
      <c r="B24" s="1201"/>
      <c r="C24" s="829"/>
      <c r="D24" s="1202"/>
      <c r="E24" s="1202"/>
      <c r="F24" s="1203"/>
      <c r="G24" s="832"/>
    </row>
    <row r="25" spans="1:8">
      <c r="A25" s="1365">
        <f t="shared" si="0"/>
        <v>12</v>
      </c>
      <c r="B25" s="1201"/>
      <c r="C25" s="829"/>
      <c r="D25" s="1202"/>
      <c r="E25" s="1202"/>
      <c r="F25" s="1203"/>
      <c r="G25" s="832"/>
    </row>
    <row r="26" spans="1:8">
      <c r="A26" s="1365">
        <f t="shared" si="0"/>
        <v>13</v>
      </c>
      <c r="B26" s="1201"/>
      <c r="C26" s="829"/>
      <c r="D26" s="1202"/>
      <c r="E26" s="1202"/>
      <c r="F26" s="1203"/>
      <c r="G26" s="832"/>
    </row>
    <row r="27" spans="1:8">
      <c r="A27" s="1365">
        <f t="shared" si="0"/>
        <v>14</v>
      </c>
      <c r="B27" s="1201"/>
      <c r="C27" s="829"/>
      <c r="D27" s="1202"/>
      <c r="E27" s="1202"/>
      <c r="F27" s="1203"/>
      <c r="G27" s="832"/>
    </row>
    <row r="28" spans="1:8">
      <c r="A28" s="1365">
        <f t="shared" si="0"/>
        <v>15</v>
      </c>
      <c r="B28" s="1201"/>
      <c r="C28" s="829"/>
      <c r="D28" s="1202"/>
      <c r="E28" s="1202"/>
      <c r="F28" s="1203"/>
      <c r="G28" s="832"/>
    </row>
    <row r="29" spans="1:8">
      <c r="B29" s="1204"/>
      <c r="C29" s="1205"/>
      <c r="D29" s="1206"/>
      <c r="E29" s="1293"/>
      <c r="F29" s="1207"/>
      <c r="G29" s="1292"/>
    </row>
    <row r="30" spans="1:8" ht="15.75">
      <c r="A30" s="1295">
        <f>+A28+1</f>
        <v>16</v>
      </c>
      <c r="B30" s="1208"/>
      <c r="C30" s="1354" t="s">
        <v>1098</v>
      </c>
      <c r="D30" s="359">
        <f>SUM(D14:D28)</f>
        <v>428928.07</v>
      </c>
      <c r="E30" s="359">
        <f>SUM(E14:E28)</f>
        <v>428928.07</v>
      </c>
      <c r="F30" s="359">
        <f>SUM(F14:F28)</f>
        <v>0</v>
      </c>
      <c r="G30" s="1209"/>
    </row>
    <row r="31" spans="1:8" ht="15.75">
      <c r="B31" s="1208"/>
      <c r="C31" s="1210"/>
      <c r="D31" s="1211"/>
      <c r="E31" s="1292"/>
      <c r="F31" s="1292"/>
      <c r="G31" s="1292"/>
    </row>
    <row r="32" spans="1:8" ht="15.75">
      <c r="B32" s="1212"/>
      <c r="C32" s="133" t="s">
        <v>397</v>
      </c>
      <c r="D32" s="1292"/>
      <c r="E32" s="1292"/>
      <c r="F32" s="1292"/>
      <c r="G32" s="1292"/>
      <c r="H32"/>
    </row>
    <row r="33" spans="1:19">
      <c r="A33" s="1295">
        <f>A30+1</f>
        <v>17</v>
      </c>
      <c r="B33" s="1199" t="s">
        <v>1076</v>
      </c>
      <c r="C33" s="1200" t="s">
        <v>815</v>
      </c>
      <c r="D33" s="876">
        <f>+'[4]Inputs 2019'!H315</f>
        <v>211829.17286937</v>
      </c>
      <c r="E33" s="1202">
        <f>+D33</f>
        <v>211829.17286937</v>
      </c>
      <c r="F33" s="1202"/>
      <c r="G33" s="1203"/>
      <c r="H33"/>
    </row>
    <row r="34" spans="1:19">
      <c r="A34" s="1295">
        <f>+A33+1</f>
        <v>18</v>
      </c>
      <c r="B34" s="1201"/>
      <c r="C34" s="1213"/>
      <c r="D34" s="1202"/>
      <c r="E34" s="1202"/>
      <c r="F34" s="1202"/>
      <c r="G34" s="1203"/>
      <c r="H34"/>
    </row>
    <row r="35" spans="1:19">
      <c r="A35" s="1295">
        <f>+A34+1</f>
        <v>19</v>
      </c>
      <c r="B35" s="1201"/>
      <c r="C35" s="1213"/>
      <c r="D35" s="1202"/>
      <c r="E35" s="1202"/>
      <c r="F35" s="1202"/>
      <c r="G35" s="1203"/>
      <c r="H35"/>
      <c r="M35" s="57"/>
      <c r="N35" s="57"/>
      <c r="O35" s="59"/>
      <c r="P35" s="59"/>
      <c r="Q35" s="59"/>
      <c r="R35" s="59"/>
      <c r="S35" s="59"/>
    </row>
    <row r="36" spans="1:19">
      <c r="A36" s="1295">
        <f>+A35+1</f>
        <v>20</v>
      </c>
      <c r="B36" s="1201"/>
      <c r="C36" s="1213"/>
      <c r="D36" s="1202"/>
      <c r="E36" s="1202"/>
      <c r="F36" s="1202"/>
      <c r="G36" s="1203"/>
      <c r="H36"/>
      <c r="M36" s="57"/>
      <c r="N36" s="57"/>
      <c r="O36" s="59"/>
      <c r="P36" s="59"/>
      <c r="Q36" s="59"/>
      <c r="R36" s="59"/>
      <c r="S36" s="59"/>
    </row>
    <row r="37" spans="1:19">
      <c r="A37" s="1295">
        <f>+A36+1</f>
        <v>21</v>
      </c>
      <c r="B37" s="1201"/>
      <c r="C37" s="1213"/>
      <c r="D37" s="1202"/>
      <c r="E37" s="1202"/>
      <c r="F37" s="1202"/>
      <c r="G37" s="1203"/>
      <c r="H37"/>
      <c r="M37" s="57"/>
      <c r="N37" s="57"/>
      <c r="O37" s="59"/>
      <c r="P37" s="59"/>
      <c r="Q37" s="59"/>
      <c r="R37" s="59"/>
      <c r="S37" s="59"/>
    </row>
    <row r="38" spans="1:19">
      <c r="B38" s="1214"/>
      <c r="C38" s="1118"/>
      <c r="D38" s="1137"/>
      <c r="E38" s="1137"/>
      <c r="F38" s="1137"/>
      <c r="G38" s="1137"/>
      <c r="H38"/>
    </row>
    <row r="39" spans="1:19">
      <c r="B39" s="1204"/>
      <c r="C39" s="1292"/>
      <c r="D39" s="1215"/>
      <c r="E39" s="1368"/>
      <c r="F39" s="1215"/>
      <c r="G39" s="1292"/>
      <c r="H39"/>
    </row>
    <row r="40" spans="1:19" ht="15.75">
      <c r="A40" s="1295">
        <f>+A37+1</f>
        <v>22</v>
      </c>
      <c r="B40" s="1208"/>
      <c r="C40" s="1024" t="s">
        <v>1099</v>
      </c>
      <c r="D40" s="374">
        <f>SUM(D33:D39)</f>
        <v>211829.17286937</v>
      </c>
      <c r="E40" s="374">
        <f>SUM(E33:E39)</f>
        <v>211829.17286937</v>
      </c>
      <c r="F40" s="374">
        <f>SUM(F33:F39)</f>
        <v>0</v>
      </c>
      <c r="G40" s="1216"/>
    </row>
    <row r="41" spans="1:19" ht="12.75" customHeight="1">
      <c r="B41" s="169"/>
      <c r="C41" s="52"/>
      <c r="D41" s="375"/>
      <c r="E41" s="375"/>
      <c r="F41" s="375"/>
      <c r="G41" s="52"/>
    </row>
    <row r="42" spans="1:19" ht="15.75">
      <c r="B42" s="1217"/>
      <c r="C42" s="133" t="s">
        <v>396</v>
      </c>
      <c r="D42" s="1218"/>
      <c r="E42" s="1218"/>
      <c r="F42" s="1218"/>
      <c r="G42" s="1291"/>
    </row>
    <row r="43" spans="1:19">
      <c r="A43" s="1295">
        <f>+A40+1</f>
        <v>23</v>
      </c>
      <c r="B43" s="1219" t="s">
        <v>1077</v>
      </c>
      <c r="C43" s="1200" t="s">
        <v>816</v>
      </c>
      <c r="D43" s="876">
        <f>+'[4]Inputs 2019'!H317</f>
        <v>1139994.1295436099</v>
      </c>
      <c r="E43" s="1202">
        <f>+D43</f>
        <v>1139994.1295436099</v>
      </c>
      <c r="F43" s="1202"/>
      <c r="G43" s="1203"/>
      <c r="H43"/>
      <c r="I43"/>
    </row>
    <row r="44" spans="1:19">
      <c r="A44" s="1295">
        <f>+A43+1</f>
        <v>24</v>
      </c>
      <c r="B44" s="1220"/>
      <c r="C44" s="1213"/>
      <c r="D44" s="1202"/>
      <c r="E44" s="1202"/>
      <c r="F44" s="1202"/>
      <c r="G44" s="1203"/>
      <c r="H44"/>
      <c r="I44"/>
    </row>
    <row r="45" spans="1:19">
      <c r="A45" s="1295">
        <f>+A44+1</f>
        <v>25</v>
      </c>
      <c r="B45" s="1220"/>
      <c r="C45" s="1213"/>
      <c r="D45" s="1202"/>
      <c r="E45" s="1202"/>
      <c r="F45" s="1202"/>
      <c r="G45" s="1203"/>
      <c r="H45"/>
      <c r="I45"/>
    </row>
    <row r="46" spans="1:19">
      <c r="A46" s="1295">
        <f>+A45+1</f>
        <v>26</v>
      </c>
      <c r="B46" s="1220"/>
      <c r="C46" s="1213"/>
      <c r="D46" s="1202"/>
      <c r="E46" s="1202"/>
      <c r="F46" s="1202"/>
      <c r="G46" s="1203"/>
      <c r="H46"/>
      <c r="I46"/>
      <c r="J46" s="59"/>
      <c r="K46" s="59"/>
    </row>
    <row r="47" spans="1:19">
      <c r="A47" s="1295">
        <f>+A46+1</f>
        <v>27</v>
      </c>
      <c r="B47" s="1220"/>
      <c r="C47" s="1213"/>
      <c r="D47" s="1202"/>
      <c r="E47" s="1202"/>
      <c r="F47" s="1202"/>
      <c r="G47" s="1203"/>
      <c r="H47"/>
      <c r="I47"/>
    </row>
    <row r="48" spans="1:19">
      <c r="B48" s="52"/>
      <c r="C48" s="52"/>
      <c r="D48" s="52"/>
      <c r="E48" s="52"/>
      <c r="F48" s="52"/>
      <c r="G48" s="52"/>
    </row>
    <row r="49" spans="1:10" ht="15.75">
      <c r="A49" s="1295">
        <f>+A47+1</f>
        <v>28</v>
      </c>
      <c r="B49" s="52"/>
      <c r="C49" s="1024" t="s">
        <v>1100</v>
      </c>
      <c r="D49" s="359">
        <f>SUM(D43:D48)</f>
        <v>1139994.1295436099</v>
      </c>
      <c r="E49" s="1221">
        <f>SUM(E43:E48)</f>
        <v>1139994.1295436099</v>
      </c>
      <c r="F49" s="1221">
        <f>SUM(F43:F48)</f>
        <v>0</v>
      </c>
      <c r="G49" s="1216"/>
      <c r="J49" s="1366"/>
    </row>
    <row r="50" spans="1:10">
      <c r="B50" s="38"/>
      <c r="C50" s="38"/>
      <c r="D50" s="342"/>
      <c r="E50" s="38"/>
      <c r="F50" s="38"/>
      <c r="G50" s="38"/>
    </row>
    <row r="52" spans="1:10" ht="47.25" customHeight="1">
      <c r="B52" s="1614"/>
      <c r="C52" s="1614"/>
      <c r="D52" s="1614"/>
      <c r="E52" s="1614"/>
      <c r="F52" s="1614"/>
      <c r="G52" s="1614"/>
    </row>
    <row r="53" spans="1:10">
      <c r="D53" s="1373"/>
    </row>
    <row r="56" spans="1:10">
      <c r="D56" s="1374"/>
    </row>
  </sheetData>
  <mergeCells count="7">
    <mergeCell ref="B52:G52"/>
    <mergeCell ref="A1:G1"/>
    <mergeCell ref="A2:G2"/>
    <mergeCell ref="A3:G3"/>
    <mergeCell ref="A4:G4"/>
    <mergeCell ref="A5:F5"/>
    <mergeCell ref="A6:G6"/>
  </mergeCells>
  <conditionalFormatting sqref="H40 K14:K15 H49:I49 H30:I30 H14:H28">
    <cfRule type="cellIs" dxfId="0" priority="1" stopIfTrue="1" operator="equal">
      <formula>FALSE</formula>
    </cfRule>
  </conditionalFormatting>
  <printOptions horizontalCentered="1"/>
  <pageMargins left="0.75" right="0.75" top="1" bottom="0.25" header="0.65" footer="0.5"/>
  <pageSetup scale="48" orientation="portrait" r:id="rId1"/>
  <headerFooter alignWithMargins="0">
    <oddHeader xml:space="preserve">&amp;R&amp;12AEP - SPP Formula Rate
 TCOS - WS J
Page: &amp;P of &amp;N&amp;16
</oddHead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2"/>
  <sheetViews>
    <sheetView zoomScale="81" zoomScaleNormal="81" zoomScaleSheetLayoutView="75" workbookViewId="0">
      <selection activeCell="O34" sqref="O34"/>
    </sheetView>
  </sheetViews>
  <sheetFormatPr defaultColWidth="8.85546875" defaultRowHeight="12.75"/>
  <cols>
    <col min="1" max="1" width="9.28515625" style="38" bestFit="1" customWidth="1"/>
    <col min="2" max="2" width="32.5703125" style="38" customWidth="1"/>
    <col min="3" max="4" width="8.85546875" style="38"/>
    <col min="5" max="5" width="15" style="38" customWidth="1"/>
    <col min="6" max="6" width="11" style="38" bestFit="1" customWidth="1"/>
    <col min="7" max="7" width="10.85546875" style="38" customWidth="1"/>
    <col min="8" max="8" width="5" style="38" customWidth="1"/>
    <col min="9" max="9" width="21" style="38" bestFit="1" customWidth="1"/>
    <col min="10" max="10" width="2.140625" style="38" customWidth="1"/>
    <col min="11" max="11" width="15.5703125" style="38" bestFit="1" customWidth="1"/>
    <col min="12" max="12" width="4.85546875" style="38" customWidth="1"/>
    <col min="13" max="16384" width="8.85546875" style="38"/>
  </cols>
  <sheetData>
    <row r="1" spans="1:12" ht="18">
      <c r="A1" s="1556" t="str">
        <f>+'SWEPCO TCOS'!F3</f>
        <v xml:space="preserve">AEP West SPP Member Operating Companies </v>
      </c>
      <c r="B1" s="1556"/>
      <c r="C1" s="1556"/>
      <c r="D1" s="1556"/>
      <c r="E1" s="1556"/>
      <c r="F1" s="1556"/>
      <c r="G1" s="1556"/>
      <c r="H1" s="1556"/>
      <c r="I1" s="415"/>
      <c r="J1" s="415"/>
    </row>
    <row r="2" spans="1:12" ht="18">
      <c r="A2" s="1553" t="str">
        <f>+'SWEPCO WS A RB Support '!$A$2:$G$2</f>
        <v xml:space="preserve">Actual / Projected 2019 Rate Year Cost of Service Formula Rate </v>
      </c>
      <c r="B2" s="1553"/>
      <c r="C2" s="1553"/>
      <c r="D2" s="1553"/>
      <c r="E2" s="1553"/>
      <c r="F2" s="1553"/>
      <c r="G2" s="1553"/>
      <c r="H2" s="1553"/>
      <c r="I2" s="415"/>
      <c r="J2" s="415"/>
    </row>
    <row r="3" spans="1:12" ht="18">
      <c r="A3" s="1554" t="s">
        <v>135</v>
      </c>
      <c r="B3" s="1553"/>
      <c r="C3" s="1553"/>
      <c r="D3" s="1553"/>
      <c r="E3" s="1553"/>
      <c r="F3" s="1553"/>
      <c r="G3" s="1553"/>
      <c r="H3" s="1553"/>
      <c r="I3" s="415"/>
      <c r="J3" s="415"/>
    </row>
    <row r="4" spans="1:12" ht="18">
      <c r="A4" s="1574" t="str">
        <f>+'SWEPCO TCOS'!F7</f>
        <v>SOUTHWESTERN ELECTRIC POWER COMPANY</v>
      </c>
      <c r="B4" s="1574"/>
      <c r="C4" s="1574"/>
      <c r="D4" s="1574"/>
      <c r="E4" s="1574"/>
      <c r="F4" s="1574"/>
      <c r="G4" s="1574"/>
      <c r="I4" s="415"/>
      <c r="J4" s="415"/>
    </row>
    <row r="6" spans="1:12" ht="21.75" customHeight="1">
      <c r="A6" s="1029" t="s">
        <v>347</v>
      </c>
      <c r="B6" s="137" t="str">
        <f>"DEVELOPMENT OF COMPOSITE STATE INCOME TAX  RATES FOR "&amp;'SWEPCO TCOS'!$N$1&amp;""</f>
        <v>DEVELOPMENT OF COMPOSITE STATE INCOME TAX  RATES FOR 2019</v>
      </c>
      <c r="C6" s="137"/>
      <c r="D6" s="137"/>
      <c r="E6" s="137"/>
      <c r="F6" s="137"/>
      <c r="G6" s="137"/>
      <c r="H6" s="137"/>
      <c r="I6" s="137"/>
      <c r="J6" s="137"/>
    </row>
    <row r="7" spans="1:12" ht="12.75" customHeight="1">
      <c r="A7" s="137"/>
    </row>
    <row r="8" spans="1:12" ht="18">
      <c r="A8" s="340"/>
      <c r="B8" s="1222" t="s">
        <v>152</v>
      </c>
      <c r="C8" s="1222"/>
      <c r="D8" s="65" t="s">
        <v>153</v>
      </c>
      <c r="E8" s="1223">
        <f>+'[4]Inputs 2019'!$H$368</f>
        <v>5.6599999999999998E-2</v>
      </c>
      <c r="F8" s="52"/>
      <c r="G8" s="54"/>
      <c r="H8" s="54"/>
      <c r="L8" s="198"/>
    </row>
    <row r="9" spans="1:12" ht="15">
      <c r="A9" s="198"/>
      <c r="B9" s="51" t="s">
        <v>378</v>
      </c>
      <c r="C9" s="64"/>
      <c r="D9" s="64"/>
      <c r="E9" s="1223">
        <f>+'[4]Inputs 2019'!$H$369</f>
        <v>1.8220000000000001E-3</v>
      </c>
      <c r="F9" s="52"/>
      <c r="G9" s="54"/>
      <c r="H9" s="54"/>
      <c r="L9" s="198"/>
    </row>
    <row r="10" spans="1:12" ht="15">
      <c r="A10" s="198"/>
      <c r="B10" s="51" t="s">
        <v>49</v>
      </c>
      <c r="C10" s="64"/>
      <c r="D10" s="64"/>
      <c r="E10" s="52"/>
      <c r="F10" s="210">
        <f>ROUND(E8*E9,6)</f>
        <v>1.03E-4</v>
      </c>
      <c r="G10" s="54"/>
      <c r="L10" s="198"/>
    </row>
    <row r="11" spans="1:12" ht="15">
      <c r="A11" s="198"/>
      <c r="B11" s="51"/>
      <c r="C11" s="64"/>
      <c r="D11" s="64"/>
      <c r="E11" s="64"/>
      <c r="F11" s="66"/>
      <c r="G11" s="54"/>
      <c r="L11" s="198"/>
    </row>
    <row r="12" spans="1:12" ht="15">
      <c r="A12" s="198"/>
      <c r="B12" s="1222" t="s">
        <v>1151</v>
      </c>
      <c r="C12" s="1222"/>
      <c r="D12" s="64"/>
      <c r="E12" s="1223">
        <f>+'[4]Inputs 2019'!$H$364</f>
        <v>7.4999999999999997E-3</v>
      </c>
      <c r="F12" s="210"/>
      <c r="G12" s="54"/>
      <c r="L12" s="198"/>
    </row>
    <row r="13" spans="1:12" ht="15">
      <c r="A13" s="198"/>
      <c r="B13" s="51" t="s">
        <v>378</v>
      </c>
      <c r="C13" s="64"/>
      <c r="D13" s="64"/>
      <c r="E13" s="1223">
        <f>+'[4]Inputs 2019'!$H$365</f>
        <v>5.0999999999999997E-2</v>
      </c>
      <c r="F13" s="210"/>
      <c r="G13" s="54"/>
      <c r="L13" s="198"/>
    </row>
    <row r="14" spans="1:12" ht="15">
      <c r="A14" s="198"/>
      <c r="B14" s="51" t="s">
        <v>49</v>
      </c>
      <c r="C14" s="64"/>
      <c r="D14" s="64"/>
      <c r="E14" s="52"/>
      <c r="F14" s="210">
        <f>ROUND(E12*E13,6)</f>
        <v>3.8299999999999999E-4</v>
      </c>
      <c r="G14" s="54"/>
      <c r="L14" s="198"/>
    </row>
    <row r="15" spans="1:12" ht="15">
      <c r="A15" s="198"/>
      <c r="B15" s="51"/>
      <c r="C15" s="64"/>
      <c r="D15" s="64"/>
      <c r="E15" s="64"/>
      <c r="F15" s="210"/>
      <c r="G15" s="54"/>
      <c r="L15" s="198"/>
    </row>
    <row r="16" spans="1:12" ht="15">
      <c r="A16" s="198"/>
      <c r="B16" s="1222" t="s">
        <v>585</v>
      </c>
      <c r="C16" s="1222"/>
      <c r="D16" s="504"/>
      <c r="E16" s="1223">
        <f>+'[4]Inputs 2019'!$H$372</f>
        <v>0.08</v>
      </c>
      <c r="F16" s="505"/>
      <c r="G16" s="54"/>
      <c r="L16" s="198"/>
    </row>
    <row r="17" spans="1:12" ht="15">
      <c r="A17" s="198"/>
      <c r="B17" s="51" t="s">
        <v>378</v>
      </c>
      <c r="C17" s="64"/>
      <c r="D17" s="504"/>
      <c r="E17" s="1223">
        <f>+'[4]Inputs 2019'!$H$373</f>
        <v>0.3851</v>
      </c>
      <c r="F17" s="505"/>
      <c r="G17" s="54"/>
      <c r="L17" s="198"/>
    </row>
    <row r="18" spans="1:12" ht="15">
      <c r="A18" s="198"/>
      <c r="B18" s="51" t="s">
        <v>49</v>
      </c>
      <c r="C18" s="64"/>
      <c r="D18" s="504"/>
      <c r="E18" s="52"/>
      <c r="F18" s="210">
        <f>ROUND(E16*E17,6)</f>
        <v>3.0807999999999999E-2</v>
      </c>
      <c r="G18" s="54"/>
      <c r="L18" s="198"/>
    </row>
    <row r="19" spans="1:12" ht="15">
      <c r="A19" s="198"/>
      <c r="B19" s="51"/>
      <c r="C19" s="64"/>
      <c r="D19" s="504"/>
      <c r="E19" s="64"/>
      <c r="F19" s="210"/>
      <c r="G19" s="54"/>
      <c r="L19" s="198"/>
    </row>
    <row r="20" spans="1:12" ht="15">
      <c r="A20" s="198"/>
      <c r="B20" s="1222" t="s">
        <v>586</v>
      </c>
      <c r="C20" s="1222"/>
      <c r="D20" s="504"/>
      <c r="E20" s="1223">
        <f>+'[4]Inputs 2019'!$H$376</f>
        <v>6.5000000000000002E-2</v>
      </c>
      <c r="F20" s="210"/>
      <c r="G20" s="54"/>
      <c r="L20" s="198"/>
    </row>
    <row r="21" spans="1:12" ht="15">
      <c r="A21" s="198"/>
      <c r="B21" s="51" t="s">
        <v>378</v>
      </c>
      <c r="C21" s="504"/>
      <c r="D21" s="504"/>
      <c r="E21" s="1223">
        <f>+'[4]Inputs 2019'!$H$377</f>
        <v>0.24385899999999999</v>
      </c>
      <c r="F21" s="210"/>
      <c r="G21" s="54"/>
      <c r="L21" s="198"/>
    </row>
    <row r="22" spans="1:12" ht="15">
      <c r="A22" s="198"/>
      <c r="B22" s="51" t="s">
        <v>49</v>
      </c>
      <c r="C22" s="504"/>
      <c r="D22" s="504"/>
      <c r="E22" s="506"/>
      <c r="F22" s="210">
        <f>ROUND(E20*E21,6)</f>
        <v>1.5851000000000001E-2</v>
      </c>
      <c r="G22" s="54"/>
      <c r="L22" s="198"/>
    </row>
    <row r="23" spans="1:12" ht="15">
      <c r="A23" s="198"/>
      <c r="B23" s="51"/>
      <c r="C23" s="64"/>
      <c r="D23" s="64"/>
      <c r="E23" s="52"/>
      <c r="F23" s="210"/>
      <c r="G23" s="54"/>
      <c r="L23" s="198"/>
    </row>
    <row r="24" spans="1:12" ht="15">
      <c r="A24" s="198"/>
      <c r="B24" s="1222" t="s">
        <v>1520</v>
      </c>
      <c r="C24" s="1222"/>
      <c r="D24" s="504"/>
      <c r="E24" s="1223">
        <f>+'[4]Inputs 2019'!$H$360</f>
        <v>5.5800000000000002E-2</v>
      </c>
      <c r="F24" s="210"/>
      <c r="G24" s="54"/>
      <c r="L24" s="198"/>
    </row>
    <row r="25" spans="1:12" ht="15">
      <c r="A25" s="198"/>
      <c r="B25" s="51" t="s">
        <v>378</v>
      </c>
      <c r="C25" s="504"/>
      <c r="D25" s="504"/>
      <c r="E25" s="1223">
        <f>+'[4]Inputs 2019'!$H$361</f>
        <v>1.9599999999999999E-6</v>
      </c>
      <c r="F25" s="210"/>
      <c r="G25" s="54"/>
      <c r="L25" s="198"/>
    </row>
    <row r="26" spans="1:12" ht="15">
      <c r="A26" s="198"/>
      <c r="B26" s="51" t="s">
        <v>49</v>
      </c>
      <c r="C26" s="504"/>
      <c r="D26" s="504"/>
      <c r="E26" s="506"/>
      <c r="F26" s="210">
        <f>ROUND(E24*E25,6)</f>
        <v>0</v>
      </c>
      <c r="G26" s="54"/>
      <c r="L26" s="198"/>
    </row>
    <row r="27" spans="1:12" ht="15">
      <c r="A27" s="198"/>
      <c r="B27" s="51"/>
      <c r="C27" s="64"/>
      <c r="D27" s="64"/>
      <c r="E27" s="52"/>
      <c r="F27" s="210"/>
      <c r="G27" s="54"/>
      <c r="L27" s="198"/>
    </row>
    <row r="28" spans="1:12" ht="15.75" thickBot="1">
      <c r="A28" s="198"/>
      <c r="B28" s="52" t="s">
        <v>379</v>
      </c>
      <c r="C28" s="64"/>
      <c r="D28" s="64"/>
      <c r="E28" s="52"/>
      <c r="F28" s="211">
        <f>+ROUND(SUM(F9:F27),4)</f>
        <v>4.7100000000000003E-2</v>
      </c>
      <c r="G28" s="54"/>
      <c r="I28" s="417"/>
      <c r="L28" s="198"/>
    </row>
    <row r="29" spans="1:12" ht="13.5" thickTop="1">
      <c r="A29" s="198"/>
      <c r="G29" s="54"/>
      <c r="L29" s="198"/>
    </row>
    <row r="30" spans="1:12" ht="15">
      <c r="A30" s="198"/>
      <c r="B30" s="1042" t="s">
        <v>1150</v>
      </c>
      <c r="G30" s="54"/>
      <c r="L30" s="198"/>
    </row>
    <row r="31" spans="1:12" ht="15">
      <c r="A31" s="198"/>
      <c r="B31" s="52" t="s">
        <v>155</v>
      </c>
      <c r="G31" s="54"/>
      <c r="L31" s="198"/>
    </row>
    <row r="32" spans="1:12" ht="15">
      <c r="A32" s="198"/>
      <c r="B32" s="52"/>
      <c r="G32" s="54"/>
      <c r="L32" s="198"/>
    </row>
    <row r="33" spans="1:12" ht="18">
      <c r="A33" s="1029" t="s">
        <v>348</v>
      </c>
      <c r="B33" s="137" t="s">
        <v>409</v>
      </c>
      <c r="C33" s="52"/>
      <c r="D33" s="52"/>
      <c r="E33" s="52"/>
      <c r="F33" s="52"/>
    </row>
    <row r="34" spans="1:12" ht="18">
      <c r="C34" s="137"/>
      <c r="I34" s="1602" t="s">
        <v>555</v>
      </c>
      <c r="J34" s="1602"/>
      <c r="K34" s="1602"/>
      <c r="L34" s="52"/>
    </row>
    <row r="35" spans="1:12" ht="15">
      <c r="I35" s="52"/>
      <c r="J35" s="52"/>
      <c r="K35" s="52"/>
      <c r="L35" s="52"/>
    </row>
    <row r="36" spans="1:12" ht="15">
      <c r="I36" s="324" t="s">
        <v>50</v>
      </c>
      <c r="J36" s="324"/>
      <c r="K36" s="324" t="s">
        <v>51</v>
      </c>
      <c r="L36" s="52"/>
    </row>
    <row r="37" spans="1:12" ht="15">
      <c r="A37" s="324" t="s">
        <v>179</v>
      </c>
      <c r="B37" s="14" t="str">
        <f>"REVENUE REQUIREMENT BEFORE TEXAS GROSS MARGIN TAX (TCOS ln "&amp;'SWEPCO TCOS'!B187&amp;") "</f>
        <v xml:space="preserve">REVENUE REQUIREMENT BEFORE TEXAS GROSS MARGIN TAX (TCOS ln 114) </v>
      </c>
      <c r="I37" s="1045">
        <f>+'SWEPCO TCOS'!G184</f>
        <v>668891272.02368653</v>
      </c>
      <c r="J37" s="52"/>
      <c r="K37" s="1045">
        <f>+'SWEPCO TCOS'!L184</f>
        <v>178931472.07890439</v>
      </c>
      <c r="L37" s="52"/>
    </row>
    <row r="38" spans="1:12" ht="15">
      <c r="A38" s="52"/>
      <c r="B38" s="14"/>
      <c r="I38" s="52"/>
      <c r="J38" s="52"/>
      <c r="K38" s="52"/>
      <c r="L38" s="52"/>
    </row>
    <row r="39" spans="1:12" ht="15">
      <c r="A39" s="324">
        <v>1</v>
      </c>
      <c r="B39" s="14" t="str">
        <f>"Apportionment Factor to Texas (ln"&amp;A52&amp;")"</f>
        <v>Apportionment Factor to Texas (ln12)</v>
      </c>
      <c r="I39" s="1224">
        <f>+$E52</f>
        <v>0.39458224543080939</v>
      </c>
      <c r="J39" s="52"/>
      <c r="K39" s="1224">
        <f>+$E52</f>
        <v>0.39458224543080939</v>
      </c>
      <c r="L39" s="52"/>
    </row>
    <row r="40" spans="1:12" ht="15">
      <c r="A40" s="324">
        <f t="shared" ref="A40:A45" si="0">+A39+1</f>
        <v>2</v>
      </c>
      <c r="B40" s="14" t="s">
        <v>52</v>
      </c>
      <c r="I40" s="246">
        <f>+I37*I39</f>
        <v>263932620.06417656</v>
      </c>
      <c r="J40" s="52"/>
      <c r="K40" s="246">
        <f>+K37*K39</f>
        <v>70603182.031134263</v>
      </c>
      <c r="L40" s="52"/>
    </row>
    <row r="41" spans="1:12" ht="15">
      <c r="A41" s="324">
        <f t="shared" si="0"/>
        <v>3</v>
      </c>
      <c r="B41" s="14" t="s">
        <v>1152</v>
      </c>
      <c r="I41" s="1050">
        <v>0.22</v>
      </c>
      <c r="J41" s="52"/>
      <c r="K41" s="1225">
        <f>+I41</f>
        <v>0.22</v>
      </c>
      <c r="L41" s="52"/>
    </row>
    <row r="42" spans="1:12" ht="15">
      <c r="A42" s="324">
        <f t="shared" si="0"/>
        <v>4</v>
      </c>
      <c r="B42" s="14" t="s">
        <v>53</v>
      </c>
      <c r="I42" s="1226">
        <f>+I40*I41</f>
        <v>58065176.414118841</v>
      </c>
      <c r="J42" s="52"/>
      <c r="K42" s="1226">
        <f>+K40*K41</f>
        <v>15532700.046849538</v>
      </c>
      <c r="L42" s="52"/>
    </row>
    <row r="43" spans="1:12" ht="15">
      <c r="A43" s="324">
        <f t="shared" si="0"/>
        <v>5</v>
      </c>
      <c r="B43" s="14" t="s">
        <v>1153</v>
      </c>
      <c r="I43" s="1225">
        <v>0.01</v>
      </c>
      <c r="J43" s="52"/>
      <c r="K43" s="1225">
        <f>+I43</f>
        <v>0.01</v>
      </c>
      <c r="L43" s="52"/>
    </row>
    <row r="44" spans="1:12" ht="15">
      <c r="A44" s="324">
        <f t="shared" si="0"/>
        <v>6</v>
      </c>
      <c r="B44" s="14" t="s">
        <v>54</v>
      </c>
      <c r="I44" s="49">
        <f>+I42*I43</f>
        <v>580651.76414118847</v>
      </c>
      <c r="J44" s="52"/>
      <c r="K44" s="49">
        <f>+K42*K43</f>
        <v>155327.00046849539</v>
      </c>
      <c r="L44" s="52"/>
    </row>
    <row r="45" spans="1:12" ht="15">
      <c r="A45" s="324">
        <f t="shared" si="0"/>
        <v>7</v>
      </c>
      <c r="B45" s="15" t="s">
        <v>55</v>
      </c>
      <c r="I45" s="1093">
        <f>+ROUND((I44*I41*I39)/(1-I43)*I43,0)</f>
        <v>509</v>
      </c>
      <c r="J45" s="52"/>
      <c r="K45" s="1093">
        <f>+ROUND((K44*K41*K39)/(1-K43)*K43,0)</f>
        <v>136</v>
      </c>
      <c r="L45" s="52"/>
    </row>
    <row r="46" spans="1:12" ht="15">
      <c r="A46" s="324"/>
      <c r="B46" s="15"/>
      <c r="D46" s="1044" t="str">
        <f>"   ((ln "&amp;A44&amp;" * ln "&amp;A41&amp;" * ln "&amp;A39&amp;")/(1- ln "&amp;A43&amp;") * ln "&amp;A43&amp;")"</f>
        <v xml:space="preserve">   ((ln 6 * ln 3 * ln 1)/(1- ln 5) * ln 5)</v>
      </c>
      <c r="I46" s="1093"/>
      <c r="J46" s="52"/>
      <c r="K46" s="1093"/>
      <c r="L46" s="52"/>
    </row>
    <row r="47" spans="1:12" ht="15">
      <c r="A47" s="324">
        <f>+A45+1</f>
        <v>8</v>
      </c>
      <c r="B47" s="15" t="s">
        <v>44</v>
      </c>
      <c r="I47" s="1227">
        <f>+I44+I45</f>
        <v>581160.76414118847</v>
      </c>
      <c r="J47" s="52"/>
      <c r="K47" s="1227">
        <f>+K44+K45</f>
        <v>155463.00046849539</v>
      </c>
      <c r="L47" s="52"/>
    </row>
    <row r="48" spans="1:12" ht="15">
      <c r="A48" s="324"/>
      <c r="I48" s="52"/>
      <c r="J48" s="52"/>
      <c r="K48" s="52"/>
      <c r="L48" s="52"/>
    </row>
    <row r="49" spans="1:7" ht="15">
      <c r="A49" s="324">
        <f>+A47+1</f>
        <v>9</v>
      </c>
      <c r="B49" s="16" t="s">
        <v>56</v>
      </c>
      <c r="C49" s="48"/>
      <c r="D49" s="8"/>
      <c r="E49" s="5"/>
    </row>
    <row r="50" spans="1:7" ht="15">
      <c r="A50" s="324">
        <f>+A49+1</f>
        <v>10</v>
      </c>
      <c r="B50" s="16" t="s">
        <v>57</v>
      </c>
      <c r="C50" s="48"/>
      <c r="D50" s="8"/>
      <c r="E50" s="1048">
        <v>1209000</v>
      </c>
      <c r="F50" s="38" t="s">
        <v>5</v>
      </c>
      <c r="G50" s="332"/>
    </row>
    <row r="51" spans="1:7" ht="15">
      <c r="A51" s="324">
        <f>+A50+1</f>
        <v>11</v>
      </c>
      <c r="B51" s="16" t="s">
        <v>58</v>
      </c>
      <c r="C51" s="48"/>
      <c r="D51" s="8"/>
      <c r="E51" s="1048">
        <v>3064000</v>
      </c>
      <c r="F51" s="38" t="s">
        <v>5</v>
      </c>
    </row>
    <row r="52" spans="1:7" ht="15">
      <c r="A52" s="324">
        <f>+A51+1</f>
        <v>12</v>
      </c>
      <c r="B52" s="16" t="s">
        <v>59</v>
      </c>
      <c r="C52" s="48" t="str">
        <f>"(ln "&amp;A50&amp;" / ln "&amp;A51&amp;")"</f>
        <v>(ln 10 / ln 11)</v>
      </c>
      <c r="D52" s="8"/>
      <c r="E52" s="1321">
        <f>IF(E51=0,0,E50/E51)</f>
        <v>0.39458224543080939</v>
      </c>
    </row>
  </sheetData>
  <mergeCells count="5">
    <mergeCell ref="A1:H1"/>
    <mergeCell ref="A2:H2"/>
    <mergeCell ref="A3:H3"/>
    <mergeCell ref="A4:G4"/>
    <mergeCell ref="I34:K34"/>
  </mergeCells>
  <printOptions horizontalCentered="1"/>
  <pageMargins left="0.25" right="0.25" top="1" bottom="0.25" header="0.25" footer="0.5"/>
  <pageSetup scale="65" orientation="landscape" r:id="rId1"/>
  <headerFooter alignWithMargins="0">
    <oddHeader xml:space="preserve">&amp;R&amp;12AEP - SPP Formula Rate
TCOS - WS K
Page: &amp;P of &amp;N
</oddHeader>
    <oddFooter xml:space="preserve">&amp;C &amp;R </oddFooter>
  </headerFooter>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8"/>
  <sheetViews>
    <sheetView showGridLines="0" zoomScale="55" zoomScaleNormal="55" zoomScaleSheetLayoutView="70" zoomScalePageLayoutView="90" workbookViewId="0">
      <selection activeCell="O34" sqref="O34"/>
    </sheetView>
  </sheetViews>
  <sheetFormatPr defaultRowHeight="12.75"/>
  <cols>
    <col min="1" max="1" width="7.28515625" style="413" customWidth="1"/>
    <col min="2" max="2" width="1.7109375" style="389" customWidth="1"/>
    <col min="3" max="3" width="77" style="389" customWidth="1"/>
    <col min="4" max="4" width="1.7109375" style="389" customWidth="1"/>
    <col min="5" max="5" width="20.42578125" style="414" customWidth="1"/>
    <col min="6" max="6" width="1.7109375" style="387" customWidth="1"/>
    <col min="7" max="7" width="20" style="387" bestFit="1" customWidth="1"/>
    <col min="8" max="8" width="1.7109375" style="387" customWidth="1"/>
    <col min="9" max="9" width="21.42578125" style="387" customWidth="1"/>
    <col min="10" max="10" width="1.7109375" style="387" customWidth="1"/>
    <col min="11" max="11" width="17.7109375" style="387" bestFit="1" customWidth="1"/>
    <col min="12" max="12" width="3.42578125" style="387" customWidth="1"/>
    <col min="13" max="13" width="21.28515625" style="387" bestFit="1" customWidth="1"/>
    <col min="14" max="14" width="1.7109375" style="387" hidden="1" customWidth="1"/>
    <col min="15" max="15" width="22.140625" style="387" customWidth="1"/>
    <col min="16" max="16" width="9.140625" style="387"/>
    <col min="17" max="17" width="11.28515625" style="387" bestFit="1" customWidth="1"/>
    <col min="18" max="20" width="9.140625" style="387"/>
    <col min="21" max="21" width="13" style="387" customWidth="1"/>
    <col min="22" max="16384" width="9.140625" style="387"/>
  </cols>
  <sheetData>
    <row r="1" spans="1:29" ht="18.75" customHeight="1">
      <c r="A1" s="1556" t="str">
        <f>+'SWEPCO TCOS'!F3</f>
        <v xml:space="preserve">AEP West SPP Member Operating Companies </v>
      </c>
      <c r="B1" s="1556"/>
      <c r="C1" s="1556"/>
      <c r="D1" s="1556"/>
      <c r="E1" s="1556"/>
      <c r="F1" s="1556"/>
      <c r="G1" s="1556"/>
      <c r="H1" s="1556"/>
      <c r="I1" s="1556"/>
      <c r="J1" s="1556"/>
      <c r="K1" s="1556"/>
      <c r="L1" s="1556"/>
      <c r="M1" s="1556"/>
    </row>
    <row r="2" spans="1:29" ht="18.75" customHeight="1">
      <c r="A2" s="1553" t="str">
        <f>+'SWEPCO WS A RB Support '!A2:G2</f>
        <v xml:space="preserve">Actual / Projected 2019 Rate Year Cost of Service Formula Rate </v>
      </c>
      <c r="B2" s="1553"/>
      <c r="C2" s="1553"/>
      <c r="D2" s="1553"/>
      <c r="E2" s="1553"/>
      <c r="F2" s="1553"/>
      <c r="G2" s="1553"/>
      <c r="H2" s="1553"/>
      <c r="I2" s="1553"/>
      <c r="J2" s="1553"/>
      <c r="K2" s="1553"/>
      <c r="L2" s="1553"/>
      <c r="M2" s="1553"/>
    </row>
    <row r="3" spans="1:29" ht="18.75" customHeight="1">
      <c r="A3" s="1554" t="s">
        <v>136</v>
      </c>
      <c r="B3" s="1553"/>
      <c r="C3" s="1553"/>
      <c r="D3" s="1553"/>
      <c r="E3" s="1553"/>
      <c r="F3" s="1553"/>
      <c r="G3" s="1553"/>
      <c r="H3" s="1553"/>
      <c r="I3" s="1553"/>
      <c r="J3" s="1553"/>
      <c r="K3" s="1553"/>
      <c r="L3" s="1553"/>
      <c r="M3" s="1553"/>
    </row>
    <row r="4" spans="1:29" ht="18" customHeight="1">
      <c r="A4" s="1608" t="str">
        <f>+'SWEPCO TCOS'!F7</f>
        <v>SOUTHWESTERN ELECTRIC POWER COMPANY</v>
      </c>
      <c r="B4" s="1608"/>
      <c r="C4" s="1608"/>
      <c r="D4" s="1608"/>
      <c r="E4" s="1608"/>
      <c r="F4" s="1608"/>
      <c r="G4" s="1608"/>
      <c r="H4" s="1608"/>
      <c r="I4" s="1608"/>
      <c r="J4" s="1608"/>
      <c r="K4" s="1608"/>
      <c r="L4" s="1608"/>
      <c r="M4" s="1608"/>
    </row>
    <row r="5" spans="1:29" ht="18" customHeight="1">
      <c r="A5" s="1604"/>
      <c r="B5" s="1604"/>
      <c r="C5" s="1604"/>
      <c r="D5" s="1604"/>
      <c r="E5" s="1604"/>
      <c r="F5" s="1604"/>
      <c r="G5" s="1604"/>
      <c r="H5" s="1604"/>
      <c r="I5" s="1604"/>
      <c r="J5" s="1604"/>
      <c r="K5" s="1604"/>
      <c r="L5" s="1604"/>
      <c r="M5" s="1604"/>
    </row>
    <row r="6" spans="1:29" ht="18" customHeight="1">
      <c r="A6" s="1603"/>
      <c r="B6" s="1603"/>
      <c r="C6" s="1603"/>
      <c r="D6" s="1603"/>
      <c r="E6" s="1603"/>
      <c r="F6" s="1603"/>
      <c r="G6" s="1603"/>
      <c r="H6" s="1603"/>
      <c r="I6" s="1603"/>
      <c r="J6" s="1603"/>
      <c r="K6" s="1603"/>
      <c r="L6" s="1603"/>
      <c r="M6" s="1603"/>
    </row>
    <row r="7" spans="1:29" ht="18" customHeight="1">
      <c r="A7" s="385"/>
      <c r="B7" s="385"/>
      <c r="C7" s="385"/>
      <c r="D7" s="385"/>
      <c r="E7" s="385"/>
      <c r="F7" s="385"/>
      <c r="G7" s="385"/>
      <c r="H7" s="385"/>
      <c r="I7" s="385"/>
      <c r="J7" s="385"/>
      <c r="K7" s="385"/>
      <c r="L7" s="385"/>
      <c r="M7" s="385"/>
    </row>
    <row r="8" spans="1:29" ht="19.5" customHeight="1">
      <c r="A8" s="388"/>
      <c r="B8" s="186"/>
      <c r="C8" s="1291" t="s">
        <v>338</v>
      </c>
      <c r="E8" s="1291" t="s">
        <v>339</v>
      </c>
      <c r="G8" s="1291" t="s">
        <v>340</v>
      </c>
      <c r="I8" s="1291" t="s">
        <v>341</v>
      </c>
      <c r="K8" s="1291" t="s">
        <v>266</v>
      </c>
      <c r="M8" s="1291" t="s">
        <v>267</v>
      </c>
    </row>
    <row r="9" spans="1:29" ht="18">
      <c r="A9" s="390"/>
      <c r="B9" s="391"/>
      <c r="C9" s="391"/>
      <c r="D9" s="391"/>
      <c r="E9" s="38"/>
      <c r="F9" s="38"/>
      <c r="G9" s="38"/>
      <c r="H9" s="38"/>
      <c r="I9" s="38"/>
      <c r="J9" s="38"/>
      <c r="K9" s="38"/>
      <c r="L9" s="38"/>
      <c r="M9" s="38"/>
      <c r="Q9" s="324"/>
      <c r="R9" s="324"/>
      <c r="S9" s="324"/>
      <c r="T9" s="324"/>
      <c r="U9" s="324"/>
      <c r="V9" s="324"/>
      <c r="W9" s="324"/>
      <c r="X9" s="324"/>
      <c r="Y9" s="324"/>
      <c r="Z9" s="324"/>
      <c r="AA9" s="324"/>
      <c r="AB9" s="324"/>
      <c r="AC9" s="324"/>
    </row>
    <row r="10" spans="1:29" ht="19.5">
      <c r="A10" s="390" t="s">
        <v>345</v>
      </c>
      <c r="B10" s="391"/>
      <c r="C10" s="391"/>
      <c r="D10" s="391"/>
      <c r="E10" s="392" t="s">
        <v>295</v>
      </c>
      <c r="F10" s="390"/>
      <c r="G10" s="390"/>
      <c r="H10" s="390"/>
      <c r="I10" s="390"/>
      <c r="J10" s="390"/>
      <c r="K10" s="393"/>
      <c r="L10" s="393"/>
      <c r="M10" s="394"/>
    </row>
    <row r="11" spans="1:29" ht="19.5">
      <c r="A11" s="395" t="s">
        <v>294</v>
      </c>
      <c r="B11" s="391"/>
      <c r="C11" s="395" t="s">
        <v>439</v>
      </c>
      <c r="D11" s="391"/>
      <c r="E11" s="396" t="s">
        <v>357</v>
      </c>
      <c r="F11" s="390"/>
      <c r="G11" s="395" t="s">
        <v>440</v>
      </c>
      <c r="H11" s="390"/>
      <c r="I11" s="395" t="s">
        <v>337</v>
      </c>
      <c r="J11" s="390"/>
      <c r="K11" s="397" t="s">
        <v>355</v>
      </c>
      <c r="L11" s="398"/>
      <c r="M11" s="397" t="s">
        <v>441</v>
      </c>
    </row>
    <row r="12" spans="1:29" ht="19.5">
      <c r="A12" s="399"/>
      <c r="B12" s="186"/>
      <c r="C12" s="400"/>
      <c r="D12" s="400"/>
      <c r="E12" s="400"/>
      <c r="F12" s="400"/>
      <c r="G12" s="400"/>
      <c r="H12" s="400"/>
      <c r="I12" s="400"/>
      <c r="J12" s="400"/>
      <c r="K12" s="168"/>
      <c r="L12" s="168"/>
    </row>
    <row r="13" spans="1:29" ht="19.5">
      <c r="A13" s="388"/>
      <c r="B13" s="186"/>
      <c r="C13" s="892"/>
      <c r="D13" s="186"/>
      <c r="E13" s="401"/>
      <c r="F13" s="402"/>
      <c r="G13" s="402"/>
      <c r="H13" s="402"/>
      <c r="I13" s="401"/>
      <c r="J13" s="402"/>
      <c r="K13" s="168"/>
      <c r="L13" s="168"/>
    </row>
    <row r="14" spans="1:29" ht="19.5">
      <c r="A14" s="388">
        <v>1</v>
      </c>
      <c r="B14" s="186"/>
      <c r="C14" s="403" t="s">
        <v>444</v>
      </c>
      <c r="D14" s="186"/>
      <c r="E14" s="168"/>
      <c r="F14" s="168"/>
      <c r="G14" s="404"/>
      <c r="H14" s="404"/>
      <c r="I14" s="404"/>
      <c r="J14" s="404"/>
      <c r="K14" s="404"/>
      <c r="L14" s="404"/>
      <c r="M14" s="404"/>
    </row>
    <row r="15" spans="1:29" ht="19.5">
      <c r="A15" s="388">
        <f>+A14+1</f>
        <v>2</v>
      </c>
      <c r="B15" s="186"/>
      <c r="C15" s="1228" t="s">
        <v>798</v>
      </c>
      <c r="D15" s="186"/>
      <c r="E15" s="1228">
        <f>+'[4]Inputs 2019'!I390</f>
        <v>5841000</v>
      </c>
      <c r="F15" s="168"/>
      <c r="G15" s="1228"/>
      <c r="H15" s="1228"/>
      <c r="I15" s="1228"/>
      <c r="J15" s="1228"/>
      <c r="K15" s="1228"/>
      <c r="L15" s="1228"/>
      <c r="M15" s="1228">
        <f>+E15</f>
        <v>5841000</v>
      </c>
    </row>
    <row r="16" spans="1:29" ht="19.5">
      <c r="A16" s="388">
        <f>+A15+1</f>
        <v>3</v>
      </c>
      <c r="B16" s="186"/>
      <c r="C16" s="1228"/>
      <c r="D16" s="186"/>
      <c r="E16" s="1228"/>
      <c r="F16" s="168"/>
      <c r="G16" s="1228"/>
      <c r="H16" s="1228"/>
      <c r="I16" s="1228"/>
      <c r="J16" s="1228"/>
      <c r="K16" s="1228"/>
      <c r="L16" s="1228"/>
      <c r="M16" s="1228"/>
    </row>
    <row r="17" spans="1:25" ht="19.5">
      <c r="A17" s="388"/>
      <c r="B17" s="186"/>
      <c r="C17" s="393"/>
      <c r="D17" s="186"/>
      <c r="E17" s="405"/>
      <c r="F17" s="168"/>
      <c r="G17" s="405"/>
      <c r="H17" s="405"/>
      <c r="I17" s="405"/>
      <c r="J17" s="405"/>
      <c r="K17" s="405"/>
      <c r="L17" s="405"/>
      <c r="M17" s="405"/>
      <c r="O17" s="1229"/>
    </row>
    <row r="18" spans="1:25" ht="19.5">
      <c r="A18" s="388">
        <f>+A16+1</f>
        <v>4</v>
      </c>
      <c r="B18" s="186"/>
      <c r="C18" s="403" t="s">
        <v>445</v>
      </c>
      <c r="D18" s="186"/>
      <c r="E18" s="1228"/>
      <c r="F18" s="168"/>
      <c r="G18" s="1228"/>
      <c r="H18" s="1228"/>
      <c r="I18" s="1228"/>
      <c r="J18" s="1228"/>
      <c r="K18" s="1228"/>
      <c r="L18" s="1228"/>
      <c r="M18" s="1228"/>
      <c r="O18"/>
    </row>
    <row r="19" spans="1:25" ht="20.25">
      <c r="A19" s="388">
        <f>+A18+1</f>
        <v>5</v>
      </c>
      <c r="B19" s="186"/>
      <c r="C19" s="1228" t="s">
        <v>1287</v>
      </c>
      <c r="D19" s="186"/>
      <c r="E19" s="1228">
        <f>+'[4]Inputs 2019'!I400</f>
        <v>529535.43719999923</v>
      </c>
      <c r="F19" s="402"/>
      <c r="G19" s="1228">
        <f>+E19</f>
        <v>529535.43719999923</v>
      </c>
      <c r="H19" s="1228"/>
      <c r="I19" s="1228"/>
      <c r="J19" s="1228"/>
      <c r="K19" s="1228"/>
      <c r="L19" s="1228"/>
      <c r="M19" s="1228"/>
      <c r="O19" s="1494">
        <f>+E19/$O$23</f>
        <v>7.5599999999999999E-3</v>
      </c>
      <c r="P19" s="38"/>
      <c r="Q19" s="38"/>
      <c r="R19" s="38"/>
      <c r="S19" s="38"/>
      <c r="T19" s="38"/>
      <c r="U19" s="38"/>
      <c r="V19" s="38"/>
      <c r="W19" s="38"/>
      <c r="X19" s="38"/>
      <c r="Y19" s="38"/>
    </row>
    <row r="20" spans="1:25" ht="20.25">
      <c r="A20" s="388">
        <f>+A19+1</f>
        <v>6</v>
      </c>
      <c r="B20" s="186"/>
      <c r="C20" s="1228" t="s">
        <v>799</v>
      </c>
      <c r="D20" s="186"/>
      <c r="E20" s="1228">
        <f>+'[4]Inputs 2019'!I401</f>
        <v>16253095.614799976</v>
      </c>
      <c r="F20" s="402"/>
      <c r="G20" s="1228">
        <f>+E20</f>
        <v>16253095.614799976</v>
      </c>
      <c r="H20" s="1228"/>
      <c r="I20" s="1228"/>
      <c r="J20" s="1228"/>
      <c r="K20" s="1228"/>
      <c r="L20" s="1228"/>
      <c r="M20" s="1228"/>
      <c r="O20" s="1494">
        <f>+E20/$O$23</f>
        <v>0.23204</v>
      </c>
      <c r="P20" s="38"/>
      <c r="Q20" s="38"/>
      <c r="R20" s="38"/>
      <c r="S20" s="38"/>
      <c r="T20" s="38"/>
      <c r="U20" s="38"/>
      <c r="V20" s="38"/>
      <c r="W20" s="38"/>
      <c r="X20" s="38"/>
      <c r="Y20" s="38"/>
    </row>
    <row r="21" spans="1:25" ht="20.25">
      <c r="A21" s="388">
        <f>+A20+1</f>
        <v>7</v>
      </c>
      <c r="B21" s="186"/>
      <c r="C21" s="1228" t="s">
        <v>800</v>
      </c>
      <c r="D21" s="186"/>
      <c r="E21" s="1228">
        <f>+'[4]Inputs 2019'!I402</f>
        <v>27828628.20099996</v>
      </c>
      <c r="F21" s="402"/>
      <c r="G21" s="1228">
        <f>+E21</f>
        <v>27828628.20099996</v>
      </c>
      <c r="H21" s="1228"/>
      <c r="I21" s="1228"/>
      <c r="J21" s="1228"/>
      <c r="K21" s="1228"/>
      <c r="L21" s="1228"/>
      <c r="M21" s="1228"/>
      <c r="O21" s="1494">
        <f>+E21/$O$23</f>
        <v>0.39730000000000004</v>
      </c>
      <c r="P21" s="38"/>
      <c r="Q21" s="268"/>
      <c r="R21" s="38"/>
      <c r="S21" s="38"/>
      <c r="T21" s="38"/>
      <c r="U21" s="38"/>
      <c r="V21" s="38"/>
      <c r="W21" s="38"/>
      <c r="X21" s="38"/>
      <c r="Y21" s="38"/>
    </row>
    <row r="22" spans="1:25" ht="21">
      <c r="A22" s="388">
        <f>+A21+1</f>
        <v>8</v>
      </c>
      <c r="B22" s="186"/>
      <c r="C22" s="1228" t="s">
        <v>801</v>
      </c>
      <c r="D22" s="186"/>
      <c r="E22" s="1228">
        <f>+'[4]Inputs 2019'!I403</f>
        <v>25433110.746999964</v>
      </c>
      <c r="F22" s="168"/>
      <c r="G22" s="1228">
        <f>+E22</f>
        <v>25433110.746999964</v>
      </c>
      <c r="H22" s="1228"/>
      <c r="I22" s="1228"/>
      <c r="J22" s="1228"/>
      <c r="K22" s="1228"/>
      <c r="L22" s="1228"/>
      <c r="M22" s="1228"/>
      <c r="O22" s="1494">
        <f>+E22/$O$23</f>
        <v>0.36310000000000003</v>
      </c>
      <c r="P22" s="38"/>
      <c r="Q22" s="38"/>
      <c r="R22" s="38"/>
      <c r="S22" s="38"/>
      <c r="T22" s="38"/>
      <c r="U22" s="38"/>
      <c r="V22" s="38"/>
      <c r="W22" s="38"/>
      <c r="X22" s="38"/>
      <c r="Y22" s="38"/>
    </row>
    <row r="23" spans="1:25" ht="19.5">
      <c r="A23" s="388">
        <f>+A22+1</f>
        <v>9</v>
      </c>
      <c r="B23" s="186"/>
      <c r="C23" s="1228" t="s">
        <v>1286</v>
      </c>
      <c r="D23" s="186"/>
      <c r="E23" s="1228"/>
      <c r="F23" s="168"/>
      <c r="G23" s="1228"/>
      <c r="H23" s="1228"/>
      <c r="I23" s="1228"/>
      <c r="J23" s="1228"/>
      <c r="K23" s="1228"/>
      <c r="L23" s="1228"/>
      <c r="M23" s="1228">
        <f>+E23</f>
        <v>0</v>
      </c>
      <c r="O23" s="1505">
        <f>+E19+E20+E21+E22</f>
        <v>70044369.999999896</v>
      </c>
      <c r="P23" s="38"/>
      <c r="Q23" s="38"/>
      <c r="R23" s="38"/>
      <c r="S23" s="38"/>
      <c r="T23" s="38"/>
      <c r="U23" s="38"/>
      <c r="V23" s="38"/>
      <c r="W23" s="38"/>
      <c r="X23" s="38"/>
      <c r="Y23" s="38"/>
    </row>
    <row r="24" spans="1:25" ht="19.5">
      <c r="A24" s="388"/>
      <c r="B24" s="186"/>
      <c r="C24" s="393"/>
      <c r="D24" s="186"/>
      <c r="E24" s="405"/>
      <c r="F24" s="168"/>
      <c r="G24" s="405"/>
      <c r="H24" s="405"/>
      <c r="I24" s="405"/>
      <c r="J24" s="405"/>
      <c r="K24" s="405"/>
      <c r="L24" s="405"/>
      <c r="M24" s="405"/>
      <c r="O24"/>
      <c r="P24" s="38"/>
      <c r="Q24" s="38"/>
      <c r="R24" s="38"/>
      <c r="S24" s="38"/>
      <c r="T24" s="38"/>
      <c r="U24" s="38"/>
      <c r="V24" s="38"/>
      <c r="W24" s="38"/>
      <c r="X24" s="38"/>
      <c r="Y24" s="38"/>
    </row>
    <row r="25" spans="1:25" ht="19.5">
      <c r="A25" s="388">
        <f>+A23+1</f>
        <v>10</v>
      </c>
      <c r="B25" s="186"/>
      <c r="C25" s="403" t="s">
        <v>446</v>
      </c>
      <c r="D25" s="186"/>
      <c r="E25" s="405"/>
      <c r="F25" s="168"/>
      <c r="G25" s="405"/>
      <c r="H25" s="405"/>
      <c r="I25" s="405"/>
      <c r="J25" s="405"/>
      <c r="K25" s="405"/>
      <c r="L25" s="405"/>
      <c r="M25" s="405"/>
      <c r="O25" s="38"/>
      <c r="P25" s="38"/>
      <c r="Q25" s="38"/>
      <c r="R25" s="38"/>
      <c r="S25" s="38"/>
      <c r="T25" s="38"/>
      <c r="U25" s="38"/>
      <c r="V25" s="38"/>
      <c r="W25" s="38"/>
      <c r="X25" s="38"/>
      <c r="Y25" s="38"/>
    </row>
    <row r="26" spans="1:25" ht="19.5">
      <c r="A26" s="388">
        <f>+A25+1</f>
        <v>11</v>
      </c>
      <c r="B26" s="186"/>
      <c r="C26" s="1228" t="s">
        <v>802</v>
      </c>
      <c r="D26" s="186"/>
      <c r="E26" s="1228">
        <f>+'[4]Inputs 2019'!$I$412+'[4]Inputs 2019'!$I$413</f>
        <v>7563171.6173594203</v>
      </c>
      <c r="F26" s="168"/>
      <c r="G26" s="1228"/>
      <c r="H26" s="1228"/>
      <c r="I26" s="1228">
        <f>+E26</f>
        <v>7563171.6173594203</v>
      </c>
      <c r="J26" s="1228"/>
      <c r="K26" s="1228"/>
      <c r="L26" s="1228"/>
      <c r="M26" s="1228"/>
      <c r="O26" s="38"/>
      <c r="P26" s="38"/>
      <c r="Q26" s="38"/>
      <c r="R26" s="38"/>
      <c r="S26" s="38"/>
      <c r="T26" s="38"/>
      <c r="U26" s="38"/>
      <c r="V26" s="38"/>
      <c r="W26" s="38"/>
      <c r="X26" s="38"/>
      <c r="Y26" s="38"/>
    </row>
    <row r="27" spans="1:25" ht="19.5">
      <c r="A27" s="388">
        <f>+A26+1</f>
        <v>12</v>
      </c>
      <c r="B27" s="186"/>
      <c r="C27" s="1228" t="s">
        <v>803</v>
      </c>
      <c r="D27" s="186"/>
      <c r="E27" s="1228">
        <f>+'[4]Inputs 2019'!$I$415+'[4]Inputs 2019'!$I$416</f>
        <v>40954.078401321502</v>
      </c>
      <c r="F27" s="168"/>
      <c r="G27" s="1228"/>
      <c r="H27" s="1228"/>
      <c r="I27" s="1228">
        <f>+E27</f>
        <v>40954.078401321502</v>
      </c>
      <c r="J27" s="1228"/>
      <c r="K27" s="1228"/>
      <c r="L27" s="1228"/>
      <c r="M27" s="1228"/>
      <c r="O27" s="38"/>
      <c r="P27" s="38"/>
      <c r="Q27" s="38"/>
      <c r="R27" s="38"/>
      <c r="S27" s="38"/>
      <c r="T27" s="38"/>
      <c r="U27" s="38"/>
      <c r="V27" s="38"/>
      <c r="W27" s="38"/>
      <c r="X27" s="38"/>
      <c r="Y27" s="38"/>
    </row>
    <row r="28" spans="1:25" ht="19.5">
      <c r="A28" s="388">
        <f>+A27+1</f>
        <v>13</v>
      </c>
      <c r="B28" s="186"/>
      <c r="C28" s="1228" t="s">
        <v>804</v>
      </c>
      <c r="D28" s="186"/>
      <c r="E28" s="1228">
        <f>+'[4]Inputs 2019'!$I$418+'[4]Inputs 2019'!$I$419</f>
        <v>44906.466399952187</v>
      </c>
      <c r="F28" s="168"/>
      <c r="G28" s="1228"/>
      <c r="H28" s="1228"/>
      <c r="I28" s="1228">
        <f>+E28</f>
        <v>44906.466399952187</v>
      </c>
      <c r="J28" s="1228"/>
      <c r="K28" s="1228"/>
      <c r="L28" s="1228"/>
      <c r="M28" s="1228"/>
      <c r="O28" s="38"/>
      <c r="P28" s="38"/>
      <c r="Q28" s="38"/>
      <c r="R28" s="38"/>
      <c r="S28" s="38"/>
      <c r="T28" s="38"/>
      <c r="U28" s="38"/>
      <c r="V28" s="38"/>
      <c r="W28" s="38"/>
      <c r="X28" s="38"/>
      <c r="Y28" s="38"/>
    </row>
    <row r="29" spans="1:25" ht="19.5">
      <c r="A29" s="388">
        <f>+A28+1</f>
        <v>14</v>
      </c>
      <c r="B29" s="186"/>
      <c r="C29" s="1228"/>
      <c r="D29" s="186"/>
      <c r="E29" s="1228"/>
      <c r="F29" s="168"/>
      <c r="G29" s="1228"/>
      <c r="H29" s="1228"/>
      <c r="I29" s="1228"/>
      <c r="J29" s="1228"/>
      <c r="K29" s="1228"/>
      <c r="L29" s="1228"/>
      <c r="M29" s="1228"/>
      <c r="O29" s="38"/>
      <c r="P29" s="38"/>
      <c r="Q29" s="38"/>
      <c r="R29" s="38"/>
      <c r="S29" s="38"/>
      <c r="T29" s="38"/>
      <c r="U29" s="38"/>
      <c r="V29" s="38"/>
      <c r="W29" s="38"/>
      <c r="X29" s="38"/>
      <c r="Y29" s="38"/>
    </row>
    <row r="30" spans="1:25" ht="19.5">
      <c r="A30" s="388" t="s">
        <v>291</v>
      </c>
      <c r="B30" s="186"/>
      <c r="C30" s="168"/>
      <c r="D30" s="186"/>
      <c r="E30" s="405"/>
      <c r="F30" s="168"/>
      <c r="G30" s="405"/>
      <c r="H30" s="405"/>
      <c r="I30" s="405"/>
      <c r="J30" s="405"/>
      <c r="K30" s="405"/>
      <c r="L30" s="405"/>
      <c r="M30" s="405"/>
      <c r="O30" s="38"/>
      <c r="P30" s="38"/>
      <c r="Q30" s="38"/>
      <c r="R30" s="38"/>
      <c r="S30" s="38"/>
      <c r="T30" s="38"/>
      <c r="U30" s="38"/>
      <c r="V30" s="38"/>
      <c r="W30" s="38"/>
      <c r="X30" s="38"/>
      <c r="Y30" s="38"/>
    </row>
    <row r="31" spans="1:25" ht="19.5">
      <c r="A31" s="388">
        <f>+A29+1</f>
        <v>15</v>
      </c>
      <c r="B31" s="186"/>
      <c r="C31" s="403" t="s">
        <v>76</v>
      </c>
      <c r="D31" s="186"/>
      <c r="E31" s="405"/>
      <c r="F31" s="168"/>
      <c r="G31" s="405"/>
      <c r="H31" s="405"/>
      <c r="I31" s="405"/>
      <c r="J31" s="405"/>
      <c r="K31" s="405"/>
      <c r="L31" s="405"/>
      <c r="M31" s="405"/>
      <c r="O31" s="38"/>
      <c r="P31" s="38"/>
      <c r="Q31" s="38"/>
      <c r="R31" s="38"/>
      <c r="S31" s="38"/>
      <c r="T31" s="38"/>
      <c r="U31" s="38"/>
      <c r="V31" s="38"/>
      <c r="W31" s="38"/>
      <c r="X31" s="38"/>
      <c r="Y31" s="38"/>
    </row>
    <row r="32" spans="1:25" ht="19.5">
      <c r="A32" s="388">
        <f>A31+1</f>
        <v>16</v>
      </c>
      <c r="B32" s="186"/>
      <c r="C32" s="1120"/>
      <c r="D32" s="186"/>
      <c r="E32" s="1228"/>
      <c r="F32" s="168"/>
      <c r="G32" s="1228"/>
      <c r="H32" s="1228"/>
      <c r="I32" s="1228"/>
      <c r="J32" s="1228"/>
      <c r="K32" s="1228"/>
      <c r="L32" s="1228"/>
      <c r="M32" s="1228">
        <f>+E32</f>
        <v>0</v>
      </c>
      <c r="O32" s="38"/>
      <c r="P32" s="38"/>
      <c r="Q32" s="38"/>
      <c r="R32" s="38"/>
      <c r="S32" s="38"/>
      <c r="T32" s="38"/>
      <c r="U32" s="38"/>
      <c r="V32" s="38"/>
      <c r="W32" s="38"/>
      <c r="X32" s="38"/>
      <c r="Y32" s="38"/>
    </row>
    <row r="33" spans="1:25" ht="19.5">
      <c r="A33" s="388">
        <f>A32+1</f>
        <v>17</v>
      </c>
      <c r="B33" s="186"/>
      <c r="C33" s="1120"/>
      <c r="D33" s="186"/>
      <c r="E33" s="1228"/>
      <c r="F33" s="168"/>
      <c r="G33" s="1228"/>
      <c r="H33" s="1228"/>
      <c r="I33" s="1228"/>
      <c r="J33" s="1228"/>
      <c r="K33" s="1228"/>
      <c r="L33" s="1228"/>
      <c r="M33" s="1228"/>
      <c r="O33" s="38"/>
      <c r="P33" s="38"/>
      <c r="Q33" s="38"/>
      <c r="R33" s="38"/>
      <c r="S33" s="38"/>
      <c r="T33" s="38"/>
      <c r="U33" s="38"/>
      <c r="V33" s="38"/>
      <c r="W33" s="38"/>
      <c r="X33" s="38"/>
      <c r="Y33" s="38"/>
    </row>
    <row r="34" spans="1:25" ht="19.5">
      <c r="A34" s="388">
        <f>+A33+1</f>
        <v>18</v>
      </c>
      <c r="B34" s="186"/>
      <c r="C34" s="1120"/>
      <c r="D34" s="186"/>
      <c r="E34" s="1228"/>
      <c r="F34" s="168"/>
      <c r="G34" s="1228"/>
      <c r="H34" s="1228"/>
      <c r="I34" s="1228"/>
      <c r="J34" s="1228"/>
      <c r="K34" s="1228"/>
      <c r="L34" s="1228"/>
      <c r="M34" s="1228"/>
      <c r="O34" s="38"/>
      <c r="P34" s="38"/>
      <c r="Q34" s="38"/>
      <c r="R34" s="38"/>
      <c r="S34" s="38"/>
      <c r="T34" s="38"/>
      <c r="U34" s="38"/>
      <c r="V34" s="38"/>
      <c r="W34" s="38"/>
      <c r="X34" s="38"/>
      <c r="Y34" s="38"/>
    </row>
    <row r="35" spans="1:25" ht="19.5">
      <c r="A35" s="388"/>
      <c r="B35" s="186"/>
      <c r="C35" s="168"/>
      <c r="D35" s="186"/>
      <c r="E35" s="405"/>
      <c r="F35" s="168"/>
      <c r="G35" s="405"/>
      <c r="H35" s="405"/>
      <c r="I35" s="405"/>
      <c r="J35" s="405"/>
      <c r="K35" s="405"/>
      <c r="L35" s="405"/>
      <c r="M35" s="405"/>
      <c r="O35" s="38"/>
      <c r="P35" s="38"/>
      <c r="Q35" s="38"/>
      <c r="R35" s="38"/>
      <c r="S35" s="38"/>
      <c r="T35" s="38"/>
      <c r="U35" s="38"/>
      <c r="V35" s="38"/>
      <c r="W35" s="38"/>
      <c r="X35" s="38"/>
      <c r="Y35" s="38"/>
    </row>
    <row r="36" spans="1:25" ht="19.5">
      <c r="A36" s="1300">
        <f>+A34+1</f>
        <v>19</v>
      </c>
      <c r="B36" s="1301"/>
      <c r="C36" s="403" t="s">
        <v>443</v>
      </c>
      <c r="D36" s="1302"/>
      <c r="E36" s="405"/>
      <c r="F36" s="168"/>
      <c r="G36" s="405"/>
      <c r="H36" s="405"/>
      <c r="I36" s="405"/>
      <c r="J36" s="405"/>
      <c r="K36" s="405"/>
      <c r="L36" s="405"/>
      <c r="M36" s="405"/>
    </row>
    <row r="37" spans="1:25" ht="19.5">
      <c r="A37" s="1300">
        <f t="shared" ref="A37:A46" si="0">A36+1</f>
        <v>20</v>
      </c>
      <c r="B37" s="1301"/>
      <c r="C37" s="1228" t="s">
        <v>805</v>
      </c>
      <c r="D37" s="186"/>
      <c r="E37" s="1228">
        <v>0</v>
      </c>
      <c r="F37" s="168"/>
      <c r="G37" s="1228"/>
      <c r="H37" s="1228"/>
      <c r="I37" s="1228"/>
      <c r="J37" s="1228"/>
      <c r="K37" s="1228"/>
      <c r="L37" s="1228"/>
      <c r="M37" s="1228">
        <f>+E37</f>
        <v>0</v>
      </c>
    </row>
    <row r="38" spans="1:25" ht="19.5">
      <c r="A38" s="1300">
        <f t="shared" si="0"/>
        <v>21</v>
      </c>
      <c r="B38" s="1301"/>
      <c r="C38" s="1228" t="s">
        <v>806</v>
      </c>
      <c r="D38" s="186"/>
      <c r="E38" s="1228"/>
      <c r="F38" s="168"/>
      <c r="G38" s="1228"/>
      <c r="H38" s="1228"/>
      <c r="I38" s="1228"/>
      <c r="J38" s="1228"/>
      <c r="K38" s="1228">
        <f t="shared" ref="K38:K43" si="1">+E38</f>
        <v>0</v>
      </c>
      <c r="L38" s="1228"/>
      <c r="M38" s="1228"/>
      <c r="O38"/>
    </row>
    <row r="39" spans="1:25" ht="19.5">
      <c r="A39" s="1300">
        <f t="shared" si="0"/>
        <v>22</v>
      </c>
      <c r="B39" s="1301"/>
      <c r="C39" s="1228" t="s">
        <v>807</v>
      </c>
      <c r="D39" s="186"/>
      <c r="E39" s="1228"/>
      <c r="F39" s="168"/>
      <c r="G39" s="1228"/>
      <c r="H39" s="1228"/>
      <c r="I39" s="1228"/>
      <c r="J39" s="1228"/>
      <c r="K39" s="1228">
        <f t="shared" si="1"/>
        <v>0</v>
      </c>
      <c r="L39" s="1228"/>
      <c r="M39" s="1228"/>
      <c r="O39"/>
    </row>
    <row r="40" spans="1:25" ht="19.5">
      <c r="A40" s="1300">
        <f t="shared" si="0"/>
        <v>23</v>
      </c>
      <c r="B40" s="1301"/>
      <c r="C40" s="1228" t="s">
        <v>808</v>
      </c>
      <c r="D40" s="186"/>
      <c r="E40" s="1228"/>
      <c r="F40" s="168"/>
      <c r="G40" s="1228"/>
      <c r="H40" s="1228"/>
      <c r="I40" s="1228"/>
      <c r="J40" s="1228"/>
      <c r="K40" s="1228">
        <f t="shared" si="1"/>
        <v>0</v>
      </c>
      <c r="L40" s="1228"/>
      <c r="M40" s="1228"/>
      <c r="O40"/>
    </row>
    <row r="41" spans="1:25" ht="19.5">
      <c r="A41" s="1300">
        <f t="shared" si="0"/>
        <v>24</v>
      </c>
      <c r="B41" s="1301"/>
      <c r="C41" s="1228" t="s">
        <v>809</v>
      </c>
      <c r="D41" s="186"/>
      <c r="E41" s="1228"/>
      <c r="F41" s="168"/>
      <c r="G41" s="1228"/>
      <c r="H41" s="1228"/>
      <c r="I41" s="1228"/>
      <c r="J41" s="1228"/>
      <c r="K41" s="1228">
        <f t="shared" si="1"/>
        <v>0</v>
      </c>
      <c r="L41" s="1228"/>
      <c r="M41" s="1228"/>
    </row>
    <row r="42" spans="1:25" ht="19.5">
      <c r="A42" s="1300">
        <f t="shared" si="0"/>
        <v>25</v>
      </c>
      <c r="B42" s="1301"/>
      <c r="C42" s="1228" t="s">
        <v>1079</v>
      </c>
      <c r="D42" s="186"/>
      <c r="E42" s="1228">
        <f>+'[4]Inputs 2019'!$I$433</f>
        <v>5600000</v>
      </c>
      <c r="F42" s="168"/>
      <c r="G42" s="1228"/>
      <c r="H42" s="1228"/>
      <c r="I42" s="1228"/>
      <c r="J42" s="1228"/>
      <c r="K42" s="1228">
        <f t="shared" si="1"/>
        <v>5600000</v>
      </c>
      <c r="L42" s="1228"/>
      <c r="M42" s="1228"/>
    </row>
    <row r="43" spans="1:25" ht="19.5">
      <c r="A43" s="1300">
        <f t="shared" si="0"/>
        <v>26</v>
      </c>
      <c r="B43" s="1301"/>
      <c r="C43" s="1228" t="s">
        <v>810</v>
      </c>
      <c r="D43" s="186"/>
      <c r="E43" s="1228">
        <v>0</v>
      </c>
      <c r="F43" s="168"/>
      <c r="G43" s="1228"/>
      <c r="H43" s="1228"/>
      <c r="I43" s="1228"/>
      <c r="J43" s="1228"/>
      <c r="K43" s="1228">
        <f t="shared" si="1"/>
        <v>0</v>
      </c>
      <c r="L43" s="1228"/>
      <c r="M43" s="1228"/>
    </row>
    <row r="44" spans="1:25" ht="19.5">
      <c r="A44" s="1300">
        <f t="shared" si="0"/>
        <v>27</v>
      </c>
      <c r="B44" s="1301"/>
      <c r="C44" s="1228" t="s">
        <v>811</v>
      </c>
      <c r="D44" s="186"/>
      <c r="E44" s="1228">
        <f>+'[4]Inputs 2019'!$I$439</f>
        <v>9202569</v>
      </c>
      <c r="F44" s="168"/>
      <c r="G44" s="1228"/>
      <c r="H44" s="1228"/>
      <c r="I44" s="1228"/>
      <c r="J44" s="1228"/>
      <c r="K44" s="1228"/>
      <c r="L44" s="1228"/>
      <c r="M44" s="1228">
        <f>+E44</f>
        <v>9202569</v>
      </c>
      <c r="O44"/>
    </row>
    <row r="45" spans="1:25" ht="19.5">
      <c r="A45" s="1300">
        <f t="shared" si="0"/>
        <v>28</v>
      </c>
      <c r="B45" s="186"/>
      <c r="C45" s="1228" t="s">
        <v>1120</v>
      </c>
      <c r="D45" s="186"/>
      <c r="E45" s="1228">
        <f>+'[4]Inputs 2019'!$I$440</f>
        <v>7934431</v>
      </c>
      <c r="F45" s="168"/>
      <c r="G45" s="1228"/>
      <c r="H45" s="1228"/>
      <c r="I45" s="1228"/>
      <c r="J45" s="1228"/>
      <c r="K45" s="1228"/>
      <c r="L45" s="1228"/>
      <c r="M45" s="1228">
        <f>+E45</f>
        <v>7934431</v>
      </c>
      <c r="O45"/>
    </row>
    <row r="46" spans="1:25" ht="19.5">
      <c r="A46" s="1300">
        <f t="shared" si="0"/>
        <v>29</v>
      </c>
      <c r="B46" s="186"/>
      <c r="C46" s="1228" t="s">
        <v>1080</v>
      </c>
      <c r="D46" s="186"/>
      <c r="E46" s="1228">
        <f>+'[4]Inputs 2019'!$I$444</f>
        <v>12000</v>
      </c>
      <c r="F46" s="168"/>
      <c r="G46" s="1228"/>
      <c r="H46" s="1228"/>
      <c r="I46" s="1228"/>
      <c r="J46" s="1228"/>
      <c r="K46" s="1228"/>
      <c r="L46" s="1228"/>
      <c r="M46" s="1228">
        <f>+E46</f>
        <v>12000</v>
      </c>
      <c r="O46"/>
    </row>
    <row r="47" spans="1:25" ht="19.5">
      <c r="A47" s="388">
        <f>A46+1</f>
        <v>30</v>
      </c>
      <c r="B47" s="186"/>
      <c r="C47" s="1228" t="s">
        <v>812</v>
      </c>
      <c r="D47" s="186"/>
      <c r="E47" s="1228"/>
      <c r="F47" s="168"/>
      <c r="G47" s="1228"/>
      <c r="H47" s="1228"/>
      <c r="I47" s="1228"/>
      <c r="J47" s="1228"/>
      <c r="K47" s="1228">
        <f>+E47</f>
        <v>0</v>
      </c>
      <c r="L47" s="1228"/>
      <c r="M47" s="1228"/>
      <c r="O47"/>
    </row>
    <row r="48" spans="1:25" ht="19.5">
      <c r="A48" s="388">
        <f>A47+1</f>
        <v>31</v>
      </c>
      <c r="B48" s="186"/>
      <c r="C48" s="1228" t="s">
        <v>813</v>
      </c>
      <c r="D48" s="186"/>
      <c r="E48" s="1228"/>
      <c r="F48" s="168"/>
      <c r="G48" s="1228"/>
      <c r="H48" s="1228"/>
      <c r="I48" s="1228"/>
      <c r="J48" s="1228"/>
      <c r="K48" s="1228">
        <f>+E48</f>
        <v>0</v>
      </c>
      <c r="L48" s="1228"/>
      <c r="M48" s="1228"/>
      <c r="O48"/>
    </row>
    <row r="49" spans="1:15" ht="19.5">
      <c r="A49" s="388">
        <f>A48+1</f>
        <v>32</v>
      </c>
      <c r="B49" s="168"/>
      <c r="C49" s="1228" t="s">
        <v>814</v>
      </c>
      <c r="D49" s="186"/>
      <c r="E49" s="1228"/>
      <c r="F49" s="168"/>
      <c r="G49" s="1228"/>
      <c r="H49" s="1228"/>
      <c r="I49" s="1228"/>
      <c r="J49" s="1228"/>
      <c r="K49" s="1228">
        <f>+E49</f>
        <v>0</v>
      </c>
      <c r="L49" s="1228"/>
      <c r="M49" s="1228"/>
      <c r="O49"/>
    </row>
    <row r="50" spans="1:15" ht="19.5">
      <c r="A50" s="388">
        <f>+A49+1</f>
        <v>33</v>
      </c>
      <c r="B50" s="168"/>
      <c r="C50" s="1228" t="s">
        <v>1081</v>
      </c>
      <c r="D50" s="186"/>
      <c r="E50" s="1228">
        <f>+'[4]Inputs 2019'!$I$430</f>
        <v>1962000</v>
      </c>
      <c r="F50" s="168"/>
      <c r="G50" s="1228"/>
      <c r="H50" s="1228"/>
      <c r="I50" s="1228"/>
      <c r="J50" s="1228"/>
      <c r="K50" s="1228">
        <f>+E50</f>
        <v>1962000</v>
      </c>
      <c r="L50" s="1228"/>
      <c r="M50" s="1228"/>
      <c r="O50"/>
    </row>
    <row r="51" spans="1:15" ht="19.5">
      <c r="A51" s="388">
        <f>+A50+1</f>
        <v>34</v>
      </c>
      <c r="B51" s="168"/>
      <c r="C51" s="1228" t="s">
        <v>1288</v>
      </c>
      <c r="D51" s="186"/>
      <c r="E51" s="1228"/>
      <c r="F51" s="168"/>
      <c r="G51" s="1228"/>
      <c r="H51" s="1228"/>
      <c r="I51" s="1228"/>
      <c r="J51" s="1228"/>
      <c r="K51" s="1228"/>
      <c r="L51" s="1228"/>
      <c r="M51" s="1228">
        <f>+E51</f>
        <v>0</v>
      </c>
    </row>
    <row r="52" spans="1:15" ht="19.5">
      <c r="A52" s="38"/>
      <c r="B52" s="38"/>
      <c r="C52" s="38"/>
      <c r="D52" s="38"/>
      <c r="E52" s="38"/>
      <c r="F52" s="168"/>
      <c r="H52" s="1230"/>
      <c r="I52" s="1231"/>
      <c r="J52" s="1231"/>
      <c r="K52" s="1232"/>
      <c r="L52" s="1233"/>
      <c r="M52" s="1233"/>
    </row>
    <row r="53" spans="1:15" ht="20.25" thickBot="1">
      <c r="A53" s="1300">
        <f>+A51+1</f>
        <v>35</v>
      </c>
      <c r="B53" s="38"/>
      <c r="C53" s="168" t="s">
        <v>442</v>
      </c>
      <c r="D53" s="38"/>
      <c r="E53" s="1234">
        <f>SUM(E15:E51)</f>
        <v>108245402.16216059</v>
      </c>
      <c r="F53" s="168"/>
      <c r="G53" s="1234">
        <f>SUM(G15:G51)</f>
        <v>70044369.999999896</v>
      </c>
      <c r="H53" s="1230"/>
      <c r="I53" s="1234">
        <f>SUM(I15:I51)</f>
        <v>7649032.1621606937</v>
      </c>
      <c r="J53" s="1231"/>
      <c r="K53" s="1234">
        <f>SUM(K15:K51)</f>
        <v>7562000</v>
      </c>
      <c r="L53" s="1233"/>
      <c r="M53" s="1234">
        <f>SUM(M15:M51)</f>
        <v>22990000</v>
      </c>
    </row>
    <row r="54" spans="1:15" ht="30" customHeight="1" thickTop="1">
      <c r="A54" s="38"/>
      <c r="B54" s="38"/>
      <c r="C54" s="410" t="s">
        <v>164</v>
      </c>
      <c r="D54" s="378"/>
      <c r="E54" s="409"/>
      <c r="F54" s="410"/>
      <c r="G54" s="1235"/>
      <c r="H54" s="1235"/>
      <c r="J54" s="1236"/>
      <c r="K54" s="1237"/>
      <c r="L54" s="1237"/>
      <c r="M54" s="1238" t="str">
        <f>IF(SUM(G53:M53)=E53,"","Error - allocations don’t match total")</f>
        <v/>
      </c>
    </row>
    <row r="56" spans="1:15">
      <c r="C56" s="353" t="str">
        <f>"NOTE:  As a check, the difference between the total from Ln "&amp;A53&amp;" above and the total on FF1 p.263 line 41(i)"</f>
        <v>NOTE:  As a check, the difference between the total from Ln 35 above and the total on FF1 p.263 line 41(i)</v>
      </c>
    </row>
    <row r="57" spans="1:15">
      <c r="C57" s="353" t="s">
        <v>138</v>
      </c>
    </row>
    <row r="59" spans="1:15">
      <c r="I59" s="414"/>
    </row>
    <row r="187" spans="7:7" ht="13.5" thickBot="1"/>
    <row r="188" spans="7:7" ht="20.25" thickBot="1">
      <c r="G188" s="1239" t="e">
        <f>IF(#REF!&lt;&gt;0,+#REF!/#REF!*#REF!,0)</f>
        <v>#REF!</v>
      </c>
    </row>
  </sheetData>
  <mergeCells count="6">
    <mergeCell ref="A6:M6"/>
    <mergeCell ref="A1:M1"/>
    <mergeCell ref="A2:M2"/>
    <mergeCell ref="A3:M3"/>
    <mergeCell ref="A4:M4"/>
    <mergeCell ref="A5:M5"/>
  </mergeCells>
  <printOptions horizontalCentered="1"/>
  <pageMargins left="0.75" right="0.75" top="1" bottom="0.25" header="0.65" footer="0.5"/>
  <pageSetup scale="46" orientation="portrait" r:id="rId1"/>
  <headerFooter alignWithMargins="0">
    <oddHeader xml:space="preserve">&amp;R&amp;12AEP - SPP Formula Rate
TCOS - WS L
Page: &amp;P of &amp;N&amp;16
</oddHeader>
  </headerFooter>
  <colBreaks count="1" manualBreakCount="1">
    <brk id="14"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94"/>
  <sheetViews>
    <sheetView zoomScale="70" zoomScaleNormal="70" zoomScaleSheetLayoutView="75" workbookViewId="0">
      <selection activeCell="K47" sqref="K47"/>
    </sheetView>
  </sheetViews>
  <sheetFormatPr defaultRowHeight="12.75"/>
  <cols>
    <col min="1" max="1" width="7.42578125" style="1457" customWidth="1"/>
    <col min="2" max="2" width="7" style="1457" bestFit="1" customWidth="1"/>
    <col min="3" max="3" width="43.140625" style="1457" customWidth="1"/>
    <col min="4" max="4" width="9.5703125" style="1457" customWidth="1"/>
    <col min="5" max="5" width="12.5703125" style="1457" customWidth="1"/>
    <col min="6" max="6" width="12.7109375" style="1457" customWidth="1"/>
    <col min="7" max="7" width="14.85546875" style="1457" customWidth="1"/>
    <col min="8" max="8" width="2.85546875" style="1457" customWidth="1"/>
    <col min="9" max="9" width="15.42578125" style="1457" customWidth="1"/>
    <col min="10" max="10" width="13.28515625" style="1457" customWidth="1"/>
    <col min="11" max="11" width="11.7109375" style="1457" customWidth="1"/>
    <col min="12" max="12" width="15.28515625" style="1457" customWidth="1"/>
    <col min="13" max="13" width="2.42578125" style="1457" customWidth="1"/>
    <col min="14" max="14" width="6.140625" style="1457" customWidth="1"/>
    <col min="15" max="15" width="8.7109375" style="1457" customWidth="1"/>
    <col min="16" max="17" width="10.7109375" style="1457" customWidth="1"/>
    <col min="18" max="18" width="18.7109375" style="1457" customWidth="1"/>
    <col min="19" max="19" width="2.42578125" style="1457" customWidth="1"/>
    <col min="20" max="20" width="19.140625" style="1457" bestFit="1" customWidth="1"/>
    <col min="21" max="21" width="9.140625" style="1457"/>
    <col min="22" max="22" width="13.85546875" style="1457" customWidth="1"/>
    <col min="23" max="16384" width="9.140625" style="1457"/>
  </cols>
  <sheetData>
    <row r="1" spans="1:22" ht="15">
      <c r="H1" s="1456" t="s">
        <v>1464</v>
      </c>
      <c r="U1" s="1457">
        <v>2018</v>
      </c>
    </row>
    <row r="2" spans="1:22" ht="15">
      <c r="H2" s="1455" t="s">
        <v>1463</v>
      </c>
    </row>
    <row r="3" spans="1:22" ht="15">
      <c r="H3" s="1454" t="s">
        <v>1627</v>
      </c>
    </row>
    <row r="4" spans="1:22" ht="15">
      <c r="H4" s="15"/>
    </row>
    <row r="5" spans="1:22" ht="15.75">
      <c r="H5" s="1466" t="s">
        <v>611</v>
      </c>
    </row>
    <row r="7" spans="1:22" ht="18">
      <c r="C7" s="1453"/>
      <c r="E7" s="1453"/>
      <c r="F7" s="1453"/>
      <c r="G7" s="1453"/>
      <c r="H7" s="1453" t="s">
        <v>1289</v>
      </c>
      <c r="I7" s="1453"/>
      <c r="J7" s="1453"/>
      <c r="K7" s="1453"/>
      <c r="L7" s="1453"/>
    </row>
    <row r="8" spans="1:22">
      <c r="D8" s="1452"/>
    </row>
    <row r="9" spans="1:22">
      <c r="A9" s="1457" t="s">
        <v>1472</v>
      </c>
    </row>
    <row r="12" spans="1:22" s="1448" customFormat="1" ht="22.5" customHeight="1">
      <c r="A12" s="1451" t="s">
        <v>338</v>
      </c>
      <c r="B12" s="1451" t="s">
        <v>339</v>
      </c>
      <c r="C12" s="1450" t="s">
        <v>60</v>
      </c>
      <c r="D12" s="1451" t="s">
        <v>341</v>
      </c>
      <c r="E12" s="1451" t="s">
        <v>266</v>
      </c>
      <c r="F12" s="1451" t="s">
        <v>267</v>
      </c>
      <c r="G12" s="1451" t="s">
        <v>1461</v>
      </c>
      <c r="H12" s="1451"/>
      <c r="I12" s="1451" t="s">
        <v>273</v>
      </c>
      <c r="J12" s="1451" t="s">
        <v>207</v>
      </c>
      <c r="K12" s="1449" t="s">
        <v>91</v>
      </c>
      <c r="L12" s="1451" t="s">
        <v>1460</v>
      </c>
      <c r="M12" s="1451"/>
      <c r="N12" s="1451" t="s">
        <v>612</v>
      </c>
      <c r="O12" s="1451" t="s">
        <v>613</v>
      </c>
      <c r="P12" s="1451" t="s">
        <v>1459</v>
      </c>
      <c r="Q12" s="1451" t="s">
        <v>614</v>
      </c>
      <c r="R12" s="1451" t="s">
        <v>1458</v>
      </c>
      <c r="S12" s="1451"/>
      <c r="T12" s="1451" t="s">
        <v>1473</v>
      </c>
      <c r="U12" s="1451"/>
    </row>
    <row r="13" spans="1:22" ht="16.5" customHeight="1">
      <c r="A13" s="1447"/>
      <c r="B13" s="1447"/>
      <c r="C13" s="1447"/>
      <c r="D13" s="1447"/>
      <c r="E13" s="1535" t="s">
        <v>1493</v>
      </c>
      <c r="F13" s="1535"/>
      <c r="G13" s="1535"/>
      <c r="H13" s="1447"/>
      <c r="I13" s="1446" t="s">
        <v>1628</v>
      </c>
      <c r="J13" s="1446"/>
      <c r="K13" s="1446"/>
      <c r="L13" s="1446"/>
      <c r="M13" s="1446"/>
      <c r="N13" s="1446"/>
      <c r="O13" s="1446"/>
      <c r="P13" s="1446"/>
      <c r="Q13" s="1446"/>
      <c r="R13" s="1445"/>
      <c r="S13" s="1447"/>
      <c r="T13" s="1447"/>
      <c r="U13" s="1447"/>
    </row>
    <row r="14" spans="1:22" ht="18" customHeight="1">
      <c r="I14" s="1444"/>
      <c r="T14" s="1536" t="s">
        <v>1492</v>
      </c>
    </row>
    <row r="15" spans="1:22" ht="18" customHeight="1" thickBot="1">
      <c r="D15" s="1447"/>
      <c r="E15" s="1443"/>
      <c r="F15" s="1443"/>
      <c r="G15" s="1443"/>
      <c r="I15" s="1446" t="s">
        <v>615</v>
      </c>
      <c r="J15" s="1442"/>
      <c r="K15" s="1442"/>
      <c r="L15" s="1442"/>
      <c r="M15" s="1441"/>
      <c r="N15" s="1446" t="s">
        <v>616</v>
      </c>
      <c r="O15" s="1440"/>
      <c r="P15" s="1440"/>
      <c r="Q15" s="1439"/>
      <c r="T15" s="1536"/>
    </row>
    <row r="16" spans="1:22" ht="66.599999999999994" customHeight="1">
      <c r="A16" s="1438" t="s">
        <v>617</v>
      </c>
      <c r="B16" s="1437" t="s">
        <v>618</v>
      </c>
      <c r="C16" s="1437" t="s">
        <v>619</v>
      </c>
      <c r="D16" s="1436" t="s">
        <v>620</v>
      </c>
      <c r="E16" s="1434" t="s">
        <v>615</v>
      </c>
      <c r="F16" s="1434" t="s">
        <v>621</v>
      </c>
      <c r="G16" s="1436" t="s">
        <v>295</v>
      </c>
      <c r="I16" s="1433" t="s">
        <v>1487</v>
      </c>
      <c r="J16" s="1433" t="s">
        <v>1488</v>
      </c>
      <c r="K16" s="1433" t="s">
        <v>1489</v>
      </c>
      <c r="L16" s="1433" t="s">
        <v>1490</v>
      </c>
      <c r="M16" s="1433"/>
      <c r="N16" s="1432" t="s">
        <v>622</v>
      </c>
      <c r="O16" s="1432" t="s">
        <v>623</v>
      </c>
      <c r="P16" s="1431" t="s">
        <v>624</v>
      </c>
      <c r="Q16" s="1432" t="s">
        <v>1491</v>
      </c>
      <c r="R16" s="1435" t="s">
        <v>626</v>
      </c>
      <c r="T16" s="1536"/>
      <c r="V16" s="1430" t="s">
        <v>1456</v>
      </c>
    </row>
    <row r="17" spans="1:23">
      <c r="B17" s="1447"/>
      <c r="C17" s="1447"/>
      <c r="E17" s="1429"/>
      <c r="F17" s="1429"/>
      <c r="G17" s="1429"/>
      <c r="I17" s="1429"/>
      <c r="J17" s="1429"/>
      <c r="K17" s="1429"/>
      <c r="L17" s="1429"/>
      <c r="M17" s="1429"/>
      <c r="N17" s="1429"/>
      <c r="O17" s="1429"/>
      <c r="P17" s="1429"/>
      <c r="Q17" s="1429"/>
      <c r="R17" s="1429"/>
      <c r="T17" s="1429"/>
      <c r="V17" s="1428"/>
    </row>
    <row r="18" spans="1:23">
      <c r="A18" s="1451" t="s">
        <v>1369</v>
      </c>
      <c r="B18" s="1451" t="s">
        <v>1370</v>
      </c>
      <c r="C18" s="313" t="s">
        <v>1371</v>
      </c>
      <c r="D18" s="1470">
        <v>2009</v>
      </c>
      <c r="E18" s="1514">
        <v>105133.16356955816</v>
      </c>
      <c r="F18" s="1515">
        <v>0</v>
      </c>
      <c r="G18" s="1515">
        <v>105133.16356955816</v>
      </c>
      <c r="H18" s="1474"/>
      <c r="I18" s="1514">
        <v>167.00057376724726</v>
      </c>
      <c r="J18" s="1516">
        <v>108625.01299372003</v>
      </c>
      <c r="K18" s="1516">
        <v>107849.73557778911</v>
      </c>
      <c r="L18" s="1514">
        <v>775.27741593091923</v>
      </c>
      <c r="M18" s="1514"/>
      <c r="N18" s="1515">
        <v>0</v>
      </c>
      <c r="O18" s="1515">
        <v>0</v>
      </c>
      <c r="P18" s="1515">
        <v>0</v>
      </c>
      <c r="Q18" s="1514">
        <v>627.90669471661442</v>
      </c>
      <c r="R18" s="1517">
        <v>1570.1846844147808</v>
      </c>
      <c r="S18" s="1517"/>
      <c r="T18" s="1518">
        <v>106703.34825397294</v>
      </c>
      <c r="U18"/>
      <c r="V18" s="1477">
        <v>942.27798969816649</v>
      </c>
      <c r="W18" s="1471" t="s">
        <v>1369</v>
      </c>
    </row>
    <row r="19" spans="1:23" ht="25.5">
      <c r="A19" s="1451" t="s">
        <v>1372</v>
      </c>
      <c r="B19" s="1451" t="s">
        <v>1370</v>
      </c>
      <c r="C19" s="313" t="s">
        <v>1373</v>
      </c>
      <c r="D19" s="1470">
        <v>2009</v>
      </c>
      <c r="E19" s="1514">
        <v>546224.37932435388</v>
      </c>
      <c r="F19" s="1515">
        <v>0</v>
      </c>
      <c r="G19" s="1515">
        <v>546224.37932435388</v>
      </c>
      <c r="H19" s="1474"/>
      <c r="I19" s="1514">
        <v>5769.4689972528722</v>
      </c>
      <c r="J19" s="1516">
        <v>569388.84775874717</v>
      </c>
      <c r="K19" s="1516">
        <v>565325.01105682843</v>
      </c>
      <c r="L19" s="1514">
        <v>4063.8367019187426</v>
      </c>
      <c r="M19" s="1514"/>
      <c r="N19" s="1515">
        <v>0</v>
      </c>
      <c r="O19" s="1515">
        <v>0</v>
      </c>
      <c r="P19" s="1515">
        <v>0</v>
      </c>
      <c r="Q19" s="1514">
        <v>6552.6294227489052</v>
      </c>
      <c r="R19" s="1517">
        <v>16385.93512192052</v>
      </c>
      <c r="S19" s="1517"/>
      <c r="T19" s="1519">
        <v>562610.31444627442</v>
      </c>
      <c r="U19"/>
      <c r="V19" s="1477">
        <v>9833.3056991716148</v>
      </c>
      <c r="W19" s="1471" t="s">
        <v>1372</v>
      </c>
    </row>
    <row r="20" spans="1:23" ht="25.5">
      <c r="A20" s="1451" t="s">
        <v>1374</v>
      </c>
      <c r="B20" s="1451" t="s">
        <v>1370</v>
      </c>
      <c r="C20" s="1472" t="s">
        <v>1375</v>
      </c>
      <c r="D20" s="1470">
        <v>2009</v>
      </c>
      <c r="E20" s="1514">
        <v>1343522.1856703926</v>
      </c>
      <c r="F20" s="1515">
        <v>0</v>
      </c>
      <c r="G20" s="1515">
        <v>1343522.1856703926</v>
      </c>
      <c r="H20" s="1474"/>
      <c r="I20" s="1514">
        <v>8501.0797525143716</v>
      </c>
      <c r="J20" s="1516">
        <v>1395039.9625301256</v>
      </c>
      <c r="K20" s="1516">
        <v>1385083.2964965552</v>
      </c>
      <c r="L20" s="1514">
        <v>9956.6660335704219</v>
      </c>
      <c r="M20" s="1514"/>
      <c r="N20" s="1515">
        <v>0</v>
      </c>
      <c r="O20" s="1515">
        <v>0</v>
      </c>
      <c r="P20" s="1515">
        <v>0</v>
      </c>
      <c r="Q20" s="1514">
        <v>12299.705899076007</v>
      </c>
      <c r="R20" s="1517">
        <v>30757.451685160799</v>
      </c>
      <c r="S20" s="1517"/>
      <c r="T20" s="1519">
        <v>1374279.6373555535</v>
      </c>
      <c r="U20"/>
      <c r="V20" s="1477">
        <v>18457.745786084794</v>
      </c>
      <c r="W20" s="1471" t="s">
        <v>1374</v>
      </c>
    </row>
    <row r="21" spans="1:23" ht="25.5">
      <c r="A21" s="1451" t="s">
        <v>1376</v>
      </c>
      <c r="B21" s="1451" t="s">
        <v>1370</v>
      </c>
      <c r="C21" s="1472" t="s">
        <v>1377</v>
      </c>
      <c r="D21" s="1470">
        <v>2008</v>
      </c>
      <c r="E21" s="1514">
        <v>1679393.8300905449</v>
      </c>
      <c r="F21" s="1515">
        <v>0</v>
      </c>
      <c r="G21" s="1515">
        <v>1679393.8300905449</v>
      </c>
      <c r="H21" s="1474"/>
      <c r="I21" s="1514">
        <v>-1994.2173913042061</v>
      </c>
      <c r="J21" s="1516">
        <v>1732228.8785758351</v>
      </c>
      <c r="K21" s="1516">
        <v>1719865.6309980345</v>
      </c>
      <c r="L21" s="1514">
        <v>12363.247577800648</v>
      </c>
      <c r="M21" s="1514"/>
      <c r="N21" s="1515">
        <v>0</v>
      </c>
      <c r="O21" s="1515">
        <v>0</v>
      </c>
      <c r="P21" s="1515">
        <v>0</v>
      </c>
      <c r="Q21" s="1514">
        <v>6909.6206671508226</v>
      </c>
      <c r="R21" s="1517">
        <v>17278.650853647265</v>
      </c>
      <c r="S21" s="1517"/>
      <c r="T21" s="1519">
        <v>1696672.480944192</v>
      </c>
      <c r="U21"/>
      <c r="V21" s="1477">
        <v>10369.030186496442</v>
      </c>
      <c r="W21" s="1471" t="s">
        <v>1376</v>
      </c>
    </row>
    <row r="22" spans="1:23">
      <c r="A22" s="1449" t="s">
        <v>1378</v>
      </c>
      <c r="B22" s="1451" t="s">
        <v>1370</v>
      </c>
      <c r="C22" s="1472" t="s">
        <v>1379</v>
      </c>
      <c r="D22" s="1470">
        <v>2006</v>
      </c>
      <c r="E22" s="1514">
        <v>42836.084122474029</v>
      </c>
      <c r="F22" s="1515">
        <v>0</v>
      </c>
      <c r="G22" s="1515">
        <v>42836.084122474029</v>
      </c>
      <c r="H22" s="1474"/>
      <c r="I22" s="1514">
        <v>316.90142338225269</v>
      </c>
      <c r="J22" s="1516">
        <v>44547.239416088021</v>
      </c>
      <c r="K22" s="1516">
        <v>44229.297280022576</v>
      </c>
      <c r="L22" s="1514">
        <v>317.94213606544508</v>
      </c>
      <c r="M22" s="1514"/>
      <c r="N22" s="1515">
        <v>0</v>
      </c>
      <c r="O22" s="1515">
        <v>0</v>
      </c>
      <c r="P22" s="1515">
        <v>0</v>
      </c>
      <c r="Q22" s="1514">
        <v>423.04131629204505</v>
      </c>
      <c r="R22" s="1517">
        <v>1057.8848757397427</v>
      </c>
      <c r="S22" s="1517"/>
      <c r="T22" s="1519">
        <v>43893.968998213772</v>
      </c>
      <c r="U22"/>
      <c r="V22" s="1477">
        <v>634.84355944769777</v>
      </c>
      <c r="W22" s="1471" t="s">
        <v>1378</v>
      </c>
    </row>
    <row r="23" spans="1:23">
      <c r="A23" s="1451" t="s">
        <v>1380</v>
      </c>
      <c r="B23" s="1451" t="s">
        <v>1370</v>
      </c>
      <c r="C23" s="1472" t="s">
        <v>1381</v>
      </c>
      <c r="D23" s="1470">
        <v>2008</v>
      </c>
      <c r="E23" s="1514">
        <v>174400.29611759563</v>
      </c>
      <c r="F23" s="1515">
        <v>0</v>
      </c>
      <c r="G23" s="1515">
        <v>174400.29611759563</v>
      </c>
      <c r="H23" s="1474"/>
      <c r="I23" s="1514">
        <v>1037.884497675579</v>
      </c>
      <c r="J23" s="1516">
        <v>181020.31875576088</v>
      </c>
      <c r="K23" s="1516">
        <v>179728.34224788169</v>
      </c>
      <c r="L23" s="1514">
        <v>1291.9765078791825</v>
      </c>
      <c r="M23" s="1514"/>
      <c r="N23" s="1515">
        <v>0</v>
      </c>
      <c r="O23" s="1515">
        <v>0</v>
      </c>
      <c r="P23" s="1515">
        <v>0</v>
      </c>
      <c r="Q23" s="1514">
        <v>1552.551730106346</v>
      </c>
      <c r="R23" s="1517">
        <v>3882.4127356611075</v>
      </c>
      <c r="S23" s="1517"/>
      <c r="T23" s="1519">
        <v>178282.70885325674</v>
      </c>
      <c r="U23"/>
      <c r="V23" s="1477">
        <v>2329.8610055547615</v>
      </c>
      <c r="W23" s="1471" t="s">
        <v>1380</v>
      </c>
    </row>
    <row r="24" spans="1:23">
      <c r="A24" s="1451" t="s">
        <v>1382</v>
      </c>
      <c r="B24" s="1451" t="s">
        <v>1370</v>
      </c>
      <c r="C24" s="1472" t="s">
        <v>1383</v>
      </c>
      <c r="D24" s="1470">
        <v>2007</v>
      </c>
      <c r="E24" s="1514">
        <v>9641.8875876125348</v>
      </c>
      <c r="F24" s="1515">
        <v>0</v>
      </c>
      <c r="G24" s="1515">
        <v>9641.8875876125348</v>
      </c>
      <c r="H24" s="1474"/>
      <c r="I24" s="1514">
        <v>36.252533591939937</v>
      </c>
      <c r="J24" s="1516">
        <v>9985.5707648746993</v>
      </c>
      <c r="K24" s="1516">
        <v>9914.3018436029961</v>
      </c>
      <c r="L24" s="1514">
        <v>71.268921271703221</v>
      </c>
      <c r="M24" s="1514"/>
      <c r="N24" s="1515">
        <v>0</v>
      </c>
      <c r="O24" s="1515">
        <v>0</v>
      </c>
      <c r="P24" s="1515">
        <v>0</v>
      </c>
      <c r="Q24" s="1514">
        <v>71.649175798086873</v>
      </c>
      <c r="R24" s="1517">
        <v>179.17063066173003</v>
      </c>
      <c r="S24" s="1520" t="s">
        <v>101</v>
      </c>
      <c r="T24" s="1519">
        <v>9821.0582182742655</v>
      </c>
      <c r="U24"/>
      <c r="V24" s="1477">
        <v>107.52145486364316</v>
      </c>
      <c r="W24" s="1471" t="s">
        <v>1382</v>
      </c>
    </row>
    <row r="25" spans="1:23" ht="25.5">
      <c r="A25" s="1451" t="s">
        <v>1384</v>
      </c>
      <c r="B25" s="1451" t="s">
        <v>1370</v>
      </c>
      <c r="C25" s="1472" t="s">
        <v>1385</v>
      </c>
      <c r="D25" s="1470">
        <v>2006</v>
      </c>
      <c r="E25" s="1514">
        <v>6208.7809286346592</v>
      </c>
      <c r="F25" s="1515">
        <v>0</v>
      </c>
      <c r="G25" s="1515">
        <v>6208.7809286346592</v>
      </c>
      <c r="H25" s="1474"/>
      <c r="I25" s="1514">
        <v>112.90230468980644</v>
      </c>
      <c r="J25" s="1516">
        <v>6524.37805957814</v>
      </c>
      <c r="K25" s="1516">
        <v>6477.8123301648011</v>
      </c>
      <c r="L25" s="1514">
        <v>46.565729413338886</v>
      </c>
      <c r="M25" s="1514"/>
      <c r="N25" s="1515">
        <v>0</v>
      </c>
      <c r="O25" s="1515">
        <v>0</v>
      </c>
      <c r="P25" s="1515">
        <v>0</v>
      </c>
      <c r="Q25" s="1514">
        <v>106.2648680128214</v>
      </c>
      <c r="R25" s="1517">
        <v>265.73290211596674</v>
      </c>
      <c r="S25" s="1520" t="s">
        <v>101</v>
      </c>
      <c r="T25" s="1519">
        <v>6474.5138307506259</v>
      </c>
      <c r="U25"/>
      <c r="V25" s="1477">
        <v>159.46803410314533</v>
      </c>
      <c r="W25" s="1471" t="s">
        <v>1384</v>
      </c>
    </row>
    <row r="26" spans="1:23">
      <c r="A26" s="1451" t="s">
        <v>1386</v>
      </c>
      <c r="B26" s="1451" t="s">
        <v>1370</v>
      </c>
      <c r="C26" s="1472" t="s">
        <v>1387</v>
      </c>
      <c r="D26" s="1470">
        <v>2007</v>
      </c>
      <c r="E26" s="1514">
        <v>8186.3337573408444</v>
      </c>
      <c r="F26" s="1515">
        <v>0</v>
      </c>
      <c r="G26" s="1515">
        <v>8186.3337573408444</v>
      </c>
      <c r="H26" s="1474"/>
      <c r="I26" s="1514">
        <v>140.8187441232003</v>
      </c>
      <c r="J26" s="1516">
        <v>8592.0177739245883</v>
      </c>
      <c r="K26" s="1516">
        <v>8530.6949058869486</v>
      </c>
      <c r="L26" s="1514">
        <v>61.322868037639637</v>
      </c>
      <c r="M26" s="1514"/>
      <c r="N26" s="1515">
        <v>0</v>
      </c>
      <c r="O26" s="1515">
        <v>0</v>
      </c>
      <c r="P26" s="1515">
        <v>0</v>
      </c>
      <c r="Q26" s="1514">
        <v>134.70130146758302</v>
      </c>
      <c r="R26" s="1517">
        <v>336.84291362842293</v>
      </c>
      <c r="S26" s="1520" t="s">
        <v>101</v>
      </c>
      <c r="T26" s="1519">
        <v>8523.1766709692674</v>
      </c>
      <c r="U26"/>
      <c r="V26" s="1477">
        <v>202.14161216083994</v>
      </c>
      <c r="W26" s="1471" t="s">
        <v>1386</v>
      </c>
    </row>
    <row r="27" spans="1:23">
      <c r="A27" s="1451" t="s">
        <v>1388</v>
      </c>
      <c r="B27" s="1451" t="s">
        <v>1370</v>
      </c>
      <c r="C27" s="1499" t="s">
        <v>1389</v>
      </c>
      <c r="D27" s="1470">
        <v>2010</v>
      </c>
      <c r="E27" s="1514">
        <v>11485.311097577385</v>
      </c>
      <c r="F27" s="1515">
        <v>0</v>
      </c>
      <c r="G27" s="1515">
        <v>11485.311097577385</v>
      </c>
      <c r="H27" s="1474"/>
      <c r="I27" s="1514">
        <v>107.09298400830266</v>
      </c>
      <c r="J27" s="1516">
        <v>11953.671063657495</v>
      </c>
      <c r="K27" s="1516">
        <v>11868.355435537329</v>
      </c>
      <c r="L27" s="1514">
        <v>85.315628120166366</v>
      </c>
      <c r="M27" s="1514"/>
      <c r="N27" s="1515">
        <v>0</v>
      </c>
      <c r="O27" s="1515">
        <v>0</v>
      </c>
      <c r="P27" s="1515">
        <v>0</v>
      </c>
      <c r="Q27" s="1514">
        <v>128.21551282896655</v>
      </c>
      <c r="R27" s="1517">
        <v>320.62412495743558</v>
      </c>
      <c r="S27" s="1517"/>
      <c r="T27" s="1519">
        <v>11805.935222534821</v>
      </c>
      <c r="U27"/>
      <c r="V27" s="1477">
        <v>192.40861212846903</v>
      </c>
      <c r="W27" s="1471" t="s">
        <v>1388</v>
      </c>
    </row>
    <row r="28" spans="1:23">
      <c r="A28" s="1449" t="s">
        <v>1390</v>
      </c>
      <c r="B28" s="1451" t="s">
        <v>1370</v>
      </c>
      <c r="C28" s="1499" t="s">
        <v>1391</v>
      </c>
      <c r="D28" s="1470">
        <v>2011</v>
      </c>
      <c r="E28" s="1514">
        <v>170092.36319375399</v>
      </c>
      <c r="F28" s="1515">
        <v>0</v>
      </c>
      <c r="G28" s="1515">
        <v>170092.36319375399</v>
      </c>
      <c r="H28" s="1474"/>
      <c r="I28" s="1514">
        <v>1119.9143875052105</v>
      </c>
      <c r="J28" s="1516">
        <v>176532.23661201712</v>
      </c>
      <c r="K28" s="1516">
        <v>175272.29240158945</v>
      </c>
      <c r="L28" s="1514">
        <v>1259.9442104276677</v>
      </c>
      <c r="M28" s="1514"/>
      <c r="N28" s="1515">
        <v>0</v>
      </c>
      <c r="O28" s="1515">
        <v>0</v>
      </c>
      <c r="P28" s="1515">
        <v>0</v>
      </c>
      <c r="Q28" s="1514">
        <v>1585.8686740625431</v>
      </c>
      <c r="R28" s="1517">
        <v>3965.7272719954212</v>
      </c>
      <c r="S28" s="1517"/>
      <c r="T28" s="1519">
        <v>174058.09046574941</v>
      </c>
      <c r="U28"/>
      <c r="V28" s="1477">
        <v>2379.8585979328782</v>
      </c>
      <c r="W28" s="1471" t="s">
        <v>1390</v>
      </c>
    </row>
    <row r="29" spans="1:23" ht="25.5">
      <c r="A29" s="1449" t="s">
        <v>1392</v>
      </c>
      <c r="B29" s="1451" t="s">
        <v>1370</v>
      </c>
      <c r="C29" s="1499" t="s">
        <v>1393</v>
      </c>
      <c r="D29" s="1470">
        <v>2012</v>
      </c>
      <c r="E29" s="1514">
        <v>413696.38401730731</v>
      </c>
      <c r="F29" s="1515">
        <v>0</v>
      </c>
      <c r="G29" s="1515">
        <v>413696.38401730731</v>
      </c>
      <c r="H29" s="1474"/>
      <c r="I29" s="1514">
        <v>1187.3509423191426</v>
      </c>
      <c r="J29" s="1516">
        <v>427588.99111547321</v>
      </c>
      <c r="K29" s="1516">
        <v>424537.20700998663</v>
      </c>
      <c r="L29" s="1514">
        <v>3051.7841054865858</v>
      </c>
      <c r="M29" s="1514"/>
      <c r="N29" s="1515">
        <v>0</v>
      </c>
      <c r="O29" s="1515">
        <v>0</v>
      </c>
      <c r="P29" s="1515">
        <v>0</v>
      </c>
      <c r="Q29" s="1514">
        <v>2824.8365189742813</v>
      </c>
      <c r="R29" s="1517">
        <v>7063.9715667800101</v>
      </c>
      <c r="S29" s="1517"/>
      <c r="T29" s="1519">
        <v>420760.35558408732</v>
      </c>
      <c r="U29"/>
      <c r="V29" s="1477">
        <v>4239.1350478057284</v>
      </c>
      <c r="W29" s="1471" t="s">
        <v>1392</v>
      </c>
    </row>
    <row r="30" spans="1:23" ht="15.75" customHeight="1">
      <c r="A30" s="1449" t="s">
        <v>1394</v>
      </c>
      <c r="B30" s="1451" t="s">
        <v>1370</v>
      </c>
      <c r="C30" s="1499" t="s">
        <v>1395</v>
      </c>
      <c r="D30" s="1470">
        <v>2010</v>
      </c>
      <c r="E30" s="1514">
        <v>2734.4429571265264</v>
      </c>
      <c r="F30" s="1515">
        <v>0</v>
      </c>
      <c r="G30" s="1515">
        <v>2734.4429571265264</v>
      </c>
      <c r="H30" s="1474"/>
      <c r="I30" s="1514">
        <v>14.663661174675781</v>
      </c>
      <c r="J30" s="1516">
        <v>2835.0626886637419</v>
      </c>
      <c r="K30" s="1516">
        <v>2814.8283060414224</v>
      </c>
      <c r="L30" s="1514">
        <v>20.234382622319572</v>
      </c>
      <c r="M30" s="1514"/>
      <c r="N30" s="1515">
        <v>0</v>
      </c>
      <c r="O30" s="1515">
        <v>0</v>
      </c>
      <c r="P30" s="1515">
        <v>0</v>
      </c>
      <c r="Q30" s="1514">
        <v>23.255043174324971</v>
      </c>
      <c r="R30" s="1517">
        <v>58.15308697132032</v>
      </c>
      <c r="S30" s="1517"/>
      <c r="T30" s="1519">
        <v>2792.5960440978465</v>
      </c>
      <c r="U30"/>
      <c r="V30" s="1477">
        <v>34.898043796995353</v>
      </c>
      <c r="W30" s="1471" t="s">
        <v>1394</v>
      </c>
    </row>
    <row r="31" spans="1:23" ht="15.75" customHeight="1">
      <c r="A31" s="1425" t="s">
        <v>1396</v>
      </c>
      <c r="B31" s="1451" t="s">
        <v>1370</v>
      </c>
      <c r="C31" s="1499" t="s">
        <v>1397</v>
      </c>
      <c r="D31" s="1470">
        <v>2013</v>
      </c>
      <c r="E31" s="1514">
        <v>120629.38384333157</v>
      </c>
      <c r="F31" s="1515">
        <v>0</v>
      </c>
      <c r="G31" s="1515">
        <v>120629.38384333157</v>
      </c>
      <c r="H31" s="1474"/>
      <c r="I31" s="1514">
        <v>10278.426578608371</v>
      </c>
      <c r="J31" s="1516">
        <v>167052.78917425824</v>
      </c>
      <c r="K31" s="1516">
        <v>165860.50158647625</v>
      </c>
      <c r="L31" s="1514">
        <v>1192.2875877819897</v>
      </c>
      <c r="M31" s="1514"/>
      <c r="N31" s="1515">
        <v>0</v>
      </c>
      <c r="O31" s="1515">
        <v>0</v>
      </c>
      <c r="P31" s="1515">
        <v>0</v>
      </c>
      <c r="Q31" s="1514">
        <v>7643.7508856217228</v>
      </c>
      <c r="R31" s="1517">
        <v>19114.465052012085</v>
      </c>
      <c r="S31" s="1517"/>
      <c r="T31" s="1519">
        <v>139743.84889534366</v>
      </c>
      <c r="U31"/>
      <c r="V31" s="1477">
        <v>11470.71416639036</v>
      </c>
      <c r="W31" s="1471" t="s">
        <v>1396</v>
      </c>
    </row>
    <row r="32" spans="1:23" ht="25.5" customHeight="1">
      <c r="A32" s="1425" t="s">
        <v>1398</v>
      </c>
      <c r="B32" s="1451" t="s">
        <v>1370</v>
      </c>
      <c r="C32" s="1499" t="s">
        <v>1399</v>
      </c>
      <c r="D32" s="1470">
        <v>2014</v>
      </c>
      <c r="E32" s="1514">
        <v>286221.77863511298</v>
      </c>
      <c r="F32" s="1515">
        <v>0</v>
      </c>
      <c r="G32" s="1515">
        <v>286221.77863511298</v>
      </c>
      <c r="H32" s="1474"/>
      <c r="I32" s="1514">
        <v>1634.8817788617453</v>
      </c>
      <c r="J32" s="1516">
        <v>297530.17806103436</v>
      </c>
      <c r="K32" s="1516">
        <v>295406.64848666312</v>
      </c>
      <c r="L32" s="1514">
        <v>2123.529574371234</v>
      </c>
      <c r="M32" s="1514"/>
      <c r="N32" s="1515">
        <v>0</v>
      </c>
      <c r="O32" s="1515">
        <v>0</v>
      </c>
      <c r="P32" s="1515">
        <v>0</v>
      </c>
      <c r="Q32" s="1514">
        <v>2504.4962059974032</v>
      </c>
      <c r="R32" s="1517">
        <v>6262.9075592303825</v>
      </c>
      <c r="S32" s="1517"/>
      <c r="T32" s="1519">
        <v>292484.68619434338</v>
      </c>
      <c r="U32"/>
      <c r="V32" s="1477">
        <v>3758.4113532329793</v>
      </c>
      <c r="W32" s="1471" t="s">
        <v>1398</v>
      </c>
    </row>
    <row r="33" spans="1:23" ht="15.75" customHeight="1">
      <c r="A33" s="1425" t="s">
        <v>1400</v>
      </c>
      <c r="B33" s="1451" t="s">
        <v>1370</v>
      </c>
      <c r="C33" s="1499" t="s">
        <v>1401</v>
      </c>
      <c r="D33" s="1470">
        <v>2014</v>
      </c>
      <c r="E33" s="1514">
        <v>653538.133879842</v>
      </c>
      <c r="F33" s="1515">
        <v>0</v>
      </c>
      <c r="G33" s="1515">
        <v>653538.133879842</v>
      </c>
      <c r="H33" s="1474"/>
      <c r="I33" s="1514">
        <v>4014.8263271549949</v>
      </c>
      <c r="J33" s="1516">
        <v>678593.08635191945</v>
      </c>
      <c r="K33" s="1516">
        <v>673749.83819059667</v>
      </c>
      <c r="L33" s="1514">
        <v>4843.2481613227865</v>
      </c>
      <c r="M33" s="1514"/>
      <c r="N33" s="1515">
        <v>0</v>
      </c>
      <c r="O33" s="1515">
        <v>0</v>
      </c>
      <c r="P33" s="1515">
        <v>0</v>
      </c>
      <c r="Q33" s="1514">
        <v>5902.7636583077792</v>
      </c>
      <c r="R33" s="1517">
        <v>14760.838146785562</v>
      </c>
      <c r="S33" s="1517"/>
      <c r="T33" s="1519">
        <v>668298.97202662751</v>
      </c>
      <c r="U33"/>
      <c r="V33" s="1477">
        <v>8858.0744884777814</v>
      </c>
      <c r="W33" s="1471" t="s">
        <v>1400</v>
      </c>
    </row>
    <row r="34" spans="1:23">
      <c r="A34" s="1425" t="s">
        <v>1402</v>
      </c>
      <c r="B34" s="1451" t="s">
        <v>1370</v>
      </c>
      <c r="C34" s="1499" t="s">
        <v>1403</v>
      </c>
      <c r="D34" s="1470">
        <v>2015</v>
      </c>
      <c r="E34" s="1514">
        <v>222315.32764746679</v>
      </c>
      <c r="F34" s="1515">
        <v>0</v>
      </c>
      <c r="G34" s="1515">
        <v>222315.32764746679</v>
      </c>
      <c r="H34" s="1474"/>
      <c r="I34" s="1514">
        <v>1342.2508443069237</v>
      </c>
      <c r="J34" s="1516">
        <v>221275.2825759374</v>
      </c>
      <c r="K34" s="1516">
        <v>219695.99872080199</v>
      </c>
      <c r="L34" s="1514">
        <v>1579.2838551354071</v>
      </c>
      <c r="M34" s="1514"/>
      <c r="N34" s="1515">
        <v>0</v>
      </c>
      <c r="O34" s="1515">
        <v>0</v>
      </c>
      <c r="P34" s="1515">
        <v>0</v>
      </c>
      <c r="Q34" s="1514">
        <v>1946.8259013609654</v>
      </c>
      <c r="R34" s="1517">
        <v>4868.3606008032966</v>
      </c>
      <c r="S34" s="1517"/>
      <c r="T34" s="1519">
        <v>227183.6882482701</v>
      </c>
      <c r="U34" s="1272"/>
      <c r="V34" s="1477">
        <v>2921.5346994423307</v>
      </c>
      <c r="W34" s="1471" t="s">
        <v>1402</v>
      </c>
    </row>
    <row r="35" spans="1:23">
      <c r="A35" s="1425" t="s">
        <v>1404</v>
      </c>
      <c r="B35" s="1451" t="s">
        <v>1370</v>
      </c>
      <c r="C35" s="1499" t="s">
        <v>1405</v>
      </c>
      <c r="D35" s="1470">
        <v>2014</v>
      </c>
      <c r="E35" s="1521">
        <v>220554.30974952347</v>
      </c>
      <c r="F35" s="1522">
        <v>0</v>
      </c>
      <c r="G35" s="1522">
        <v>220554.30974952347</v>
      </c>
      <c r="H35" s="1500"/>
      <c r="I35" s="1514">
        <v>4037.8043721883732</v>
      </c>
      <c r="J35" s="1516">
        <v>231623.84366798078</v>
      </c>
      <c r="K35" s="1523">
        <v>229970.70016044186</v>
      </c>
      <c r="L35" s="1521">
        <v>1653.1435075389163</v>
      </c>
      <c r="M35" s="1521"/>
      <c r="N35" s="1522">
        <v>0</v>
      </c>
      <c r="O35" s="1522">
        <v>0</v>
      </c>
      <c r="P35" s="1522">
        <v>0</v>
      </c>
      <c r="Q35" s="1521">
        <v>3792.2824389740072</v>
      </c>
      <c r="R35" s="1524">
        <v>9483.2303187012967</v>
      </c>
      <c r="S35" s="1524"/>
      <c r="T35" s="1525">
        <v>230037.54006822477</v>
      </c>
      <c r="U35" s="1272"/>
      <c r="V35" s="1501">
        <v>5690.9478797272895</v>
      </c>
      <c r="W35" s="1471" t="s">
        <v>1404</v>
      </c>
    </row>
    <row r="36" spans="1:23">
      <c r="A36" s="1425" t="s">
        <v>1406</v>
      </c>
      <c r="B36" s="1451" t="s">
        <v>1370</v>
      </c>
      <c r="C36" s="1499" t="s">
        <v>784</v>
      </c>
      <c r="D36" s="1470">
        <v>2017</v>
      </c>
      <c r="E36" s="1521">
        <v>179884.73394572729</v>
      </c>
      <c r="F36" s="1522">
        <v>0</v>
      </c>
      <c r="G36" s="1522">
        <v>179884.73394572729</v>
      </c>
      <c r="H36" s="1500"/>
      <c r="I36" s="1514">
        <v>-268.93837701786833</v>
      </c>
      <c r="J36" s="1516">
        <v>105641.6474528401</v>
      </c>
      <c r="K36" s="1523">
        <v>104887.66288524648</v>
      </c>
      <c r="L36" s="1521">
        <v>753.98456759362307</v>
      </c>
      <c r="M36" s="1521"/>
      <c r="N36" s="1522">
        <v>0</v>
      </c>
      <c r="O36" s="1522">
        <v>0</v>
      </c>
      <c r="P36" s="1522">
        <v>0</v>
      </c>
      <c r="Q36" s="1521">
        <v>323.22069881613817</v>
      </c>
      <c r="R36" s="1524">
        <v>808.26688939189285</v>
      </c>
      <c r="S36" s="1524"/>
      <c r="T36" s="1525">
        <v>180693.00083511919</v>
      </c>
      <c r="U36" s="1272"/>
      <c r="V36" s="1501">
        <v>485.04619057575474</v>
      </c>
      <c r="W36" s="1471" t="s">
        <v>1406</v>
      </c>
    </row>
    <row r="37" spans="1:23">
      <c r="A37" s="1425" t="s">
        <v>1407</v>
      </c>
      <c r="B37" s="1451" t="s">
        <v>1370</v>
      </c>
      <c r="C37" s="1499" t="s">
        <v>1408</v>
      </c>
      <c r="D37" s="1470">
        <v>2017</v>
      </c>
      <c r="E37" s="1514">
        <v>156997.50222910754</v>
      </c>
      <c r="F37" s="1515">
        <v>0</v>
      </c>
      <c r="G37" s="1515">
        <v>156997.50222910754</v>
      </c>
      <c r="H37" s="1474"/>
      <c r="I37" s="1514">
        <v>41572.489145955944</v>
      </c>
      <c r="J37" s="1516">
        <v>30733.448112177342</v>
      </c>
      <c r="K37" s="1523">
        <v>30514.097636827497</v>
      </c>
      <c r="L37" s="1521">
        <v>219.35047534984551</v>
      </c>
      <c r="M37" s="1521"/>
      <c r="N37" s="1522">
        <v>0</v>
      </c>
      <c r="O37" s="1522">
        <v>0</v>
      </c>
      <c r="P37" s="1522">
        <v>0</v>
      </c>
      <c r="Q37" s="1521">
        <v>27848.868560695857</v>
      </c>
      <c r="R37" s="1524">
        <v>69640.708182001646</v>
      </c>
      <c r="S37" s="1524"/>
      <c r="T37" s="1525">
        <v>226638.2104111092</v>
      </c>
      <c r="U37" s="1272"/>
      <c r="V37" s="1501">
        <v>41791.839621305786</v>
      </c>
      <c r="W37" s="1471" t="s">
        <v>1407</v>
      </c>
    </row>
    <row r="38" spans="1:23">
      <c r="A38" s="1425" t="s">
        <v>1409</v>
      </c>
      <c r="B38" s="1451" t="s">
        <v>1370</v>
      </c>
      <c r="C38" s="1499" t="s">
        <v>1410</v>
      </c>
      <c r="D38" s="1470">
        <v>2017</v>
      </c>
      <c r="E38" s="1514">
        <v>35362.40744370599</v>
      </c>
      <c r="F38" s="1515">
        <v>0</v>
      </c>
      <c r="G38" s="1515">
        <v>35362.40744370599</v>
      </c>
      <c r="H38" s="1474"/>
      <c r="I38" s="1514">
        <v>5013.0847066057213</v>
      </c>
      <c r="J38" s="1516">
        <v>19337.763747649027</v>
      </c>
      <c r="K38" s="1523">
        <v>19199.746443024847</v>
      </c>
      <c r="L38" s="1521">
        <v>138.01730462417981</v>
      </c>
      <c r="M38" s="1521"/>
      <c r="N38" s="1522">
        <v>0</v>
      </c>
      <c r="O38" s="1522">
        <v>0</v>
      </c>
      <c r="P38" s="1522">
        <v>0</v>
      </c>
      <c r="Q38" s="1521">
        <v>3432.544825816773</v>
      </c>
      <c r="R38" s="1524">
        <v>8583.6468370466737</v>
      </c>
      <c r="S38" s="1524"/>
      <c r="T38" s="1525">
        <v>43946.054280752665</v>
      </c>
      <c r="U38" s="1272"/>
      <c r="V38" s="1501">
        <v>5151.1020112299011</v>
      </c>
      <c r="W38" s="1471" t="s">
        <v>1409</v>
      </c>
    </row>
    <row r="39" spans="1:23">
      <c r="A39" s="1425" t="s">
        <v>1411</v>
      </c>
      <c r="B39" s="1451" t="s">
        <v>1370</v>
      </c>
      <c r="C39" s="1499" t="s">
        <v>1412</v>
      </c>
      <c r="D39" s="1470">
        <v>2018</v>
      </c>
      <c r="E39" s="1514">
        <v>33550.909846767216</v>
      </c>
      <c r="F39" s="1515">
        <v>0</v>
      </c>
      <c r="G39" s="1515">
        <v>33550.909846767216</v>
      </c>
      <c r="H39" s="1474"/>
      <c r="I39" s="1514">
        <v>0</v>
      </c>
      <c r="J39" s="1516">
        <v>0</v>
      </c>
      <c r="K39" s="1523">
        <v>0</v>
      </c>
      <c r="L39" s="1521">
        <v>0</v>
      </c>
      <c r="M39" s="1521"/>
      <c r="N39" s="1522">
        <v>0</v>
      </c>
      <c r="O39" s="1522">
        <v>0</v>
      </c>
      <c r="P39" s="1522">
        <v>0</v>
      </c>
      <c r="Q39" s="1521">
        <v>0</v>
      </c>
      <c r="R39" s="1524">
        <v>0</v>
      </c>
      <c r="S39" s="1524"/>
      <c r="T39" s="1525">
        <v>33550.909846767216</v>
      </c>
      <c r="U39" s="1272"/>
      <c r="V39" s="1501">
        <v>0</v>
      </c>
      <c r="W39" s="1471" t="s">
        <v>1411</v>
      </c>
    </row>
    <row r="40" spans="1:23">
      <c r="A40" s="1425" t="s">
        <v>1474</v>
      </c>
      <c r="B40" s="1451" t="s">
        <v>1370</v>
      </c>
      <c r="C40" s="1499" t="s">
        <v>1475</v>
      </c>
      <c r="D40" s="1470">
        <v>2018</v>
      </c>
      <c r="E40" s="1514">
        <v>280426.68566670635</v>
      </c>
      <c r="F40" s="1515">
        <v>0</v>
      </c>
      <c r="G40" s="1515">
        <v>280426.68566670635</v>
      </c>
      <c r="H40" s="1474"/>
      <c r="I40" s="1514">
        <v>0</v>
      </c>
      <c r="J40" s="1516">
        <v>0</v>
      </c>
      <c r="K40" s="1523">
        <v>0</v>
      </c>
      <c r="L40" s="1521">
        <v>0</v>
      </c>
      <c r="M40" s="1521"/>
      <c r="N40" s="1522">
        <v>0</v>
      </c>
      <c r="O40" s="1522">
        <v>0</v>
      </c>
      <c r="P40" s="1522">
        <v>0</v>
      </c>
      <c r="Q40" s="1521">
        <v>0</v>
      </c>
      <c r="R40" s="1524">
        <v>0</v>
      </c>
      <c r="S40" s="1524"/>
      <c r="T40" s="1525">
        <v>280426.68566670635</v>
      </c>
      <c r="U40" s="1272"/>
      <c r="V40" s="1501">
        <v>0</v>
      </c>
      <c r="W40" s="1471" t="s">
        <v>1474</v>
      </c>
    </row>
    <row r="41" spans="1:23">
      <c r="A41" s="1425" t="s">
        <v>1476</v>
      </c>
      <c r="B41" s="1451" t="s">
        <v>1370</v>
      </c>
      <c r="C41" s="1499" t="s">
        <v>1477</v>
      </c>
      <c r="D41" s="1470">
        <v>2019</v>
      </c>
      <c r="E41" s="1514">
        <v>73419.565193351213</v>
      </c>
      <c r="F41" s="1515">
        <v>0</v>
      </c>
      <c r="G41" s="1515">
        <v>73419.565193351213</v>
      </c>
      <c r="H41" s="1474"/>
      <c r="I41" s="1514">
        <v>0</v>
      </c>
      <c r="J41" s="1516">
        <v>0</v>
      </c>
      <c r="K41" s="1523">
        <v>0</v>
      </c>
      <c r="L41" s="1521">
        <v>0</v>
      </c>
      <c r="M41" s="1521"/>
      <c r="N41" s="1522">
        <v>0</v>
      </c>
      <c r="O41" s="1522">
        <v>0</v>
      </c>
      <c r="P41" s="1522">
        <v>0</v>
      </c>
      <c r="Q41" s="1521">
        <v>0</v>
      </c>
      <c r="R41" s="1524">
        <v>0</v>
      </c>
      <c r="S41" s="1524"/>
      <c r="T41" s="1525">
        <v>73419.565193351213</v>
      </c>
      <c r="U41" s="1272"/>
      <c r="V41" s="1501">
        <v>0</v>
      </c>
      <c r="W41" s="1471" t="s">
        <v>1476</v>
      </c>
    </row>
    <row r="42" spans="1:23" ht="25.5">
      <c r="A42" s="1425" t="s">
        <v>1478</v>
      </c>
      <c r="B42" s="1451" t="s">
        <v>1370</v>
      </c>
      <c r="C42" s="1499" t="s">
        <v>1479</v>
      </c>
      <c r="D42" s="1470">
        <v>2018</v>
      </c>
      <c r="E42" s="1514">
        <v>167204.53431831533</v>
      </c>
      <c r="F42" s="1515">
        <v>0</v>
      </c>
      <c r="G42" s="1515">
        <v>167204.53431831533</v>
      </c>
      <c r="H42" s="1474"/>
      <c r="I42" s="1514">
        <v>0</v>
      </c>
      <c r="J42" s="1516"/>
      <c r="K42" s="1523"/>
      <c r="L42" s="1521">
        <v>0</v>
      </c>
      <c r="M42" s="1521"/>
      <c r="N42" s="1522">
        <v>0</v>
      </c>
      <c r="O42" s="1522">
        <v>0</v>
      </c>
      <c r="P42" s="1522">
        <v>0</v>
      </c>
      <c r="Q42" s="1521">
        <v>0</v>
      </c>
      <c r="R42" s="1524">
        <v>0</v>
      </c>
      <c r="S42" s="1524"/>
      <c r="T42" s="1525">
        <v>167204.53431831533</v>
      </c>
      <c r="U42" s="1272"/>
      <c r="V42" s="1501">
        <v>0</v>
      </c>
      <c r="W42" s="1471" t="s">
        <v>1478</v>
      </c>
    </row>
    <row r="43" spans="1:23">
      <c r="A43" s="1425" t="s">
        <v>1522</v>
      </c>
      <c r="B43" s="1451" t="s">
        <v>1370</v>
      </c>
      <c r="C43" s="1499" t="s">
        <v>1521</v>
      </c>
      <c r="D43" s="1470">
        <v>2019</v>
      </c>
      <c r="E43" s="1514">
        <v>289443.44836681819</v>
      </c>
      <c r="F43" s="1515">
        <v>0</v>
      </c>
      <c r="G43" s="1515">
        <v>289443.44836681819</v>
      </c>
      <c r="H43" s="1474"/>
      <c r="I43" s="1514">
        <v>0</v>
      </c>
      <c r="J43" s="1516"/>
      <c r="K43" s="1523"/>
      <c r="L43" s="1521">
        <v>0</v>
      </c>
      <c r="M43" s="1521"/>
      <c r="N43" s="1522">
        <v>0</v>
      </c>
      <c r="O43" s="1522">
        <v>0</v>
      </c>
      <c r="P43" s="1522">
        <v>0</v>
      </c>
      <c r="Q43" s="1521">
        <v>0</v>
      </c>
      <c r="R43" s="1524">
        <v>0</v>
      </c>
      <c r="S43" s="1524"/>
      <c r="T43" s="1525">
        <v>289443.44836681819</v>
      </c>
      <c r="U43" s="1272"/>
      <c r="V43" s="1501">
        <v>0</v>
      </c>
      <c r="W43" s="1471" t="s">
        <v>1522</v>
      </c>
    </row>
    <row r="44" spans="1:23">
      <c r="A44" s="1425" t="s">
        <v>1524</v>
      </c>
      <c r="B44" s="1451" t="s">
        <v>1370</v>
      </c>
      <c r="C44" s="1499" t="s">
        <v>1523</v>
      </c>
      <c r="D44" s="1470">
        <v>2019</v>
      </c>
      <c r="E44" s="1514">
        <v>237362.06354922196</v>
      </c>
      <c r="F44" s="1515">
        <v>0</v>
      </c>
      <c r="G44" s="1515">
        <v>237362.06354922196</v>
      </c>
      <c r="H44" s="1474"/>
      <c r="I44" s="1514">
        <v>0</v>
      </c>
      <c r="J44" s="1516"/>
      <c r="K44" s="1523"/>
      <c r="L44" s="1521">
        <v>0</v>
      </c>
      <c r="M44" s="1521"/>
      <c r="N44" s="1522">
        <v>0</v>
      </c>
      <c r="O44" s="1522">
        <v>0</v>
      </c>
      <c r="P44" s="1522">
        <v>0</v>
      </c>
      <c r="Q44" s="1521">
        <v>0</v>
      </c>
      <c r="R44" s="1524">
        <v>0</v>
      </c>
      <c r="S44" s="1524"/>
      <c r="T44" s="1525">
        <v>237362.06354922196</v>
      </c>
      <c r="U44" s="1272"/>
      <c r="V44" s="1501">
        <v>0</v>
      </c>
      <c r="W44" s="1471" t="s">
        <v>1524</v>
      </c>
    </row>
    <row r="45" spans="1:23">
      <c r="A45" s="1425"/>
      <c r="B45" s="1451"/>
      <c r="C45" s="1499"/>
      <c r="D45" s="1470"/>
      <c r="E45" s="1521"/>
      <c r="F45" s="1522"/>
      <c r="G45" s="1522"/>
      <c r="H45" s="1500"/>
      <c r="I45" s="1521"/>
      <c r="J45" s="1516"/>
      <c r="K45" s="1523"/>
      <c r="L45" s="1521"/>
      <c r="M45" s="1521"/>
      <c r="N45" s="1522"/>
      <c r="O45" s="1522"/>
      <c r="P45" s="1522"/>
      <c r="Q45" s="1521"/>
      <c r="R45" s="1524"/>
      <c r="S45" s="1524"/>
      <c r="T45" s="1525"/>
      <c r="U45" s="1272"/>
      <c r="V45" s="1501">
        <v>0</v>
      </c>
      <c r="W45" s="1471">
        <v>0</v>
      </c>
    </row>
    <row r="46" spans="1:23">
      <c r="A46" s="1448"/>
      <c r="B46" s="1448"/>
      <c r="C46" s="1471"/>
      <c r="D46" s="1469"/>
      <c r="E46" s="1524"/>
      <c r="F46" s="1524"/>
      <c r="G46" s="1524"/>
      <c r="H46" s="1517"/>
      <c r="I46" s="1524"/>
      <c r="J46" s="1524"/>
      <c r="K46" s="1526"/>
      <c r="L46" s="1524"/>
      <c r="M46" s="1524"/>
      <c r="N46" s="1524"/>
      <c r="O46" s="1524"/>
      <c r="P46" s="1524"/>
      <c r="Q46" s="1524"/>
      <c r="R46" s="1524"/>
      <c r="S46" s="1517"/>
      <c r="T46" s="1525"/>
      <c r="U46"/>
      <c r="V46" s="1502"/>
      <c r="W46"/>
    </row>
    <row r="47" spans="1:23">
      <c r="A47" s="1448"/>
      <c r="B47" s="1448"/>
      <c r="C47" s="1503" t="s">
        <v>1413</v>
      </c>
      <c r="D47" s="1469"/>
      <c r="E47" s="1517">
        <v>7470466.2267492693</v>
      </c>
      <c r="F47" s="1517">
        <v>0</v>
      </c>
      <c r="G47" s="1517">
        <v>7470466.2267492693</v>
      </c>
      <c r="H47" s="1517">
        <v>0</v>
      </c>
      <c r="I47" s="1517">
        <v>84141.93878736459</v>
      </c>
      <c r="J47" s="1517">
        <v>6426650.2272522626</v>
      </c>
      <c r="K47" s="1527">
        <v>6380782</v>
      </c>
      <c r="L47" s="1517">
        <v>45868.227252262761</v>
      </c>
      <c r="M47" s="1517">
        <v>0</v>
      </c>
      <c r="N47" s="1517">
        <v>0</v>
      </c>
      <c r="O47" s="1517">
        <v>0</v>
      </c>
      <c r="P47" s="1517">
        <v>0</v>
      </c>
      <c r="Q47" s="1527">
        <v>86635</v>
      </c>
      <c r="R47" s="1517">
        <v>216645.16603962734</v>
      </c>
      <c r="S47" s="1517">
        <v>0</v>
      </c>
      <c r="T47" s="1519">
        <v>7687111.3927888982</v>
      </c>
      <c r="U47"/>
      <c r="V47" s="1519">
        <v>130010.16603962737</v>
      </c>
      <c r="W47" s="1504" t="s">
        <v>1480</v>
      </c>
    </row>
    <row r="48" spans="1:23" ht="13.5" thickBot="1">
      <c r="A48" s="1448"/>
      <c r="B48" s="1448"/>
      <c r="C48" s="1422"/>
      <c r="D48" s="1448"/>
      <c r="E48" s="1421" t="s">
        <v>375</v>
      </c>
      <c r="F48" s="1420" t="s">
        <v>375</v>
      </c>
      <c r="G48" s="1420" t="s">
        <v>375</v>
      </c>
      <c r="H48" s="1448"/>
      <c r="I48" s="1419"/>
      <c r="J48" s="1418"/>
      <c r="K48" s="1417" t="s">
        <v>375</v>
      </c>
      <c r="L48" s="1416"/>
      <c r="M48" s="1416"/>
      <c r="N48" s="1416"/>
      <c r="O48" s="1416"/>
      <c r="P48" s="1416"/>
      <c r="Q48" s="1417" t="s">
        <v>375</v>
      </c>
      <c r="R48" s="1426"/>
      <c r="S48" s="1426"/>
      <c r="T48" s="1426"/>
      <c r="V48" s="1415"/>
      <c r="W48" s="1423"/>
    </row>
    <row r="49" spans="1:22">
      <c r="A49" s="1448"/>
      <c r="B49" s="1448"/>
      <c r="C49" s="1414" t="s">
        <v>1414</v>
      </c>
      <c r="D49" s="1448"/>
      <c r="E49" s="1426"/>
      <c r="F49" s="1426"/>
      <c r="G49" s="1426"/>
      <c r="H49" s="1448"/>
      <c r="I49" s="1413"/>
      <c r="J49" s="1413"/>
      <c r="K49" s="1448"/>
      <c r="L49" s="1448"/>
      <c r="M49" s="1448"/>
      <c r="N49" s="1416"/>
      <c r="O49" s="1416"/>
      <c r="P49" s="1416"/>
      <c r="Q49" s="1416"/>
      <c r="R49" s="1426"/>
      <c r="S49" s="1426"/>
      <c r="T49" s="1426"/>
    </row>
    <row r="50" spans="1:22">
      <c r="A50" s="1448"/>
      <c r="B50" s="1448"/>
      <c r="C50" s="1414"/>
      <c r="D50" s="1448"/>
      <c r="E50" s="1426"/>
      <c r="F50" s="1426"/>
      <c r="G50" s="1426"/>
      <c r="H50" s="1448"/>
      <c r="I50" s="1412"/>
      <c r="J50" s="1411"/>
      <c r="K50" s="1427"/>
      <c r="L50" s="1448"/>
      <c r="M50" s="1448"/>
      <c r="N50" s="1416"/>
      <c r="O50" s="1416"/>
      <c r="P50" s="1416"/>
      <c r="Q50" s="1416"/>
      <c r="R50" s="1416"/>
      <c r="S50" s="1448"/>
      <c r="T50" s="1448"/>
    </row>
    <row r="51" spans="1:22">
      <c r="E51" s="1410"/>
      <c r="F51" s="1410"/>
      <c r="G51" s="1410"/>
      <c r="I51" s="1410"/>
      <c r="J51" s="1409"/>
      <c r="N51" s="1408"/>
      <c r="O51" s="1408"/>
      <c r="P51" s="1408"/>
      <c r="Q51" s="1407"/>
      <c r="R51" s="1408"/>
    </row>
    <row r="52" spans="1:22">
      <c r="E52" s="1410"/>
      <c r="F52" s="1410"/>
      <c r="G52" s="1410"/>
    </row>
    <row r="53" spans="1:22">
      <c r="A53" s="1406" t="s">
        <v>1444</v>
      </c>
      <c r="B53" s="1405"/>
      <c r="C53" s="1405"/>
      <c r="D53" s="1405"/>
      <c r="E53" s="1404"/>
      <c r="F53" s="1404"/>
      <c r="G53" s="1404"/>
      <c r="H53" s="1405"/>
      <c r="I53" s="1405"/>
      <c r="J53" s="1405"/>
      <c r="K53" s="1405"/>
      <c r="L53" s="1405"/>
      <c r="M53" s="1405"/>
      <c r="N53" s="1405"/>
      <c r="O53" s="1403"/>
      <c r="V53" s="1457" t="s">
        <v>1445</v>
      </c>
    </row>
    <row r="54" spans="1:22" ht="15.75">
      <c r="A54" s="1402" t="s">
        <v>1442</v>
      </c>
      <c r="B54" s="1424"/>
      <c r="C54" s="1401" t="s">
        <v>1441</v>
      </c>
      <c r="D54" s="1401" t="s">
        <v>1440</v>
      </c>
      <c r="E54" s="1401" t="s">
        <v>1439</v>
      </c>
      <c r="F54" s="1401" t="s">
        <v>1438</v>
      </c>
      <c r="G54" s="1424"/>
      <c r="H54" s="1458"/>
      <c r="I54" s="1401" t="s">
        <v>1437</v>
      </c>
      <c r="J54" s="1401"/>
      <c r="K54" s="1424"/>
      <c r="L54" s="1424"/>
      <c r="M54" s="1424"/>
      <c r="N54" s="1401" t="s">
        <v>1436</v>
      </c>
      <c r="O54" s="1400" t="s">
        <v>1435</v>
      </c>
      <c r="P54" s="1429" t="s">
        <v>1434</v>
      </c>
      <c r="V54" s="1457" t="s">
        <v>1443</v>
      </c>
    </row>
    <row r="55" spans="1:22">
      <c r="A55" s="1399" t="s">
        <v>1432</v>
      </c>
      <c r="B55" s="1398"/>
      <c r="C55" s="1398"/>
      <c r="D55" s="1398"/>
      <c r="E55" s="1397"/>
      <c r="F55" s="1397"/>
      <c r="G55" s="1397"/>
      <c r="H55" s="1398"/>
      <c r="I55" s="1398"/>
      <c r="J55" s="1398"/>
      <c r="K55" s="1398"/>
      <c r="L55" s="1398"/>
      <c r="M55" s="1398"/>
      <c r="N55" s="1398"/>
      <c r="O55" s="1396"/>
      <c r="V55" s="1457" t="s">
        <v>1433</v>
      </c>
    </row>
    <row r="56" spans="1:22">
      <c r="E56" s="1410"/>
      <c r="F56" s="1410"/>
      <c r="G56" s="1410"/>
      <c r="V56" s="1457" t="s">
        <v>1431</v>
      </c>
    </row>
    <row r="57" spans="1:22">
      <c r="A57" s="1395" t="s">
        <v>150</v>
      </c>
      <c r="B57" s="1395" t="s">
        <v>1481</v>
      </c>
      <c r="E57" s="1410"/>
      <c r="F57" s="1410"/>
      <c r="G57" s="1410"/>
      <c r="V57" s="1394" t="s">
        <v>1430</v>
      </c>
    </row>
    <row r="58" spans="1:22">
      <c r="B58" s="1395" t="s">
        <v>1482</v>
      </c>
      <c r="E58" s="1410"/>
      <c r="F58" s="1410"/>
      <c r="G58" s="1410"/>
    </row>
    <row r="59" spans="1:22">
      <c r="B59" s="1395" t="s">
        <v>1483</v>
      </c>
      <c r="E59" s="1410"/>
      <c r="F59" s="1410"/>
      <c r="G59" s="1410"/>
    </row>
    <row r="60" spans="1:22">
      <c r="B60" s="1395" t="s">
        <v>1484</v>
      </c>
      <c r="E60" s="1410"/>
      <c r="F60" s="1410"/>
      <c r="G60" s="1410"/>
    </row>
    <row r="61" spans="1:22">
      <c r="B61" s="1395" t="s">
        <v>1485</v>
      </c>
      <c r="E61" s="1410"/>
      <c r="F61" s="1410"/>
      <c r="G61" s="1410"/>
      <c r="K61" s="1393"/>
    </row>
    <row r="62" spans="1:22">
      <c r="B62" s="1395" t="s">
        <v>1486</v>
      </c>
      <c r="E62" s="1410"/>
      <c r="F62" s="1410"/>
      <c r="G62" s="1410"/>
    </row>
    <row r="63" spans="1:22">
      <c r="E63" s="1410"/>
      <c r="F63" s="1410"/>
      <c r="G63" s="1410"/>
    </row>
    <row r="64" spans="1:22">
      <c r="E64" s="1410"/>
      <c r="F64" s="1410"/>
      <c r="G64" s="1410"/>
    </row>
    <row r="65" spans="5:12">
      <c r="E65" s="1410"/>
      <c r="F65" s="1410"/>
      <c r="G65" s="1410"/>
    </row>
    <row r="66" spans="5:12">
      <c r="E66" s="1410"/>
      <c r="F66" s="1410"/>
      <c r="G66" s="1410"/>
    </row>
    <row r="67" spans="5:12">
      <c r="E67" s="1410"/>
      <c r="F67" s="1410"/>
      <c r="G67" s="1410"/>
    </row>
    <row r="68" spans="5:12">
      <c r="E68" s="1410"/>
      <c r="F68" s="1410"/>
      <c r="G68" s="1410"/>
    </row>
    <row r="69" spans="5:12">
      <c r="E69" s="1410"/>
      <c r="F69" s="1410"/>
      <c r="G69" s="1410"/>
    </row>
    <row r="70" spans="5:12">
      <c r="E70" s="1410"/>
      <c r="F70" s="1410"/>
      <c r="G70" s="1410"/>
      <c r="J70" s="1534">
        <v>115678.68389043733</v>
      </c>
      <c r="K70" s="1534">
        <v>114983.91552559278</v>
      </c>
      <c r="L70" s="1388">
        <f>+J70-K70</f>
        <v>694.76836484455271</v>
      </c>
    </row>
    <row r="71" spans="5:12">
      <c r="E71" s="1410"/>
      <c r="F71" s="1410"/>
      <c r="G71" s="1410"/>
      <c r="J71" s="1534">
        <v>606368.33537868119</v>
      </c>
      <c r="K71" s="1534">
        <v>602236.76208219538</v>
      </c>
      <c r="L71" s="1388">
        <f t="shared" ref="L71:L93" si="0">+J71-K71</f>
        <v>4131.573296485818</v>
      </c>
    </row>
    <row r="72" spans="5:12">
      <c r="J72" s="1534">
        <v>1485346.2607666561</v>
      </c>
      <c r="K72" s="1534">
        <v>1475715.2889659985</v>
      </c>
      <c r="L72" s="1388">
        <f t="shared" si="0"/>
        <v>9630.9718006576877</v>
      </c>
    </row>
    <row r="73" spans="5:12">
      <c r="J73" s="1534">
        <v>1842728.0739666035</v>
      </c>
      <c r="K73" s="1534">
        <v>1368094.2</v>
      </c>
      <c r="L73" s="1388">
        <f t="shared" si="0"/>
        <v>474633.87396660354</v>
      </c>
    </row>
    <row r="74" spans="5:12">
      <c r="J74" s="1534">
        <v>47325.638855242141</v>
      </c>
      <c r="K74" s="1534">
        <v>47064.028489702585</v>
      </c>
      <c r="L74" s="1388">
        <f t="shared" si="0"/>
        <v>261.61036553955637</v>
      </c>
    </row>
    <row r="75" spans="5:12">
      <c r="J75" s="1534">
        <v>192610.00896096634</v>
      </c>
      <c r="K75" s="1534">
        <v>191445.86392166355</v>
      </c>
      <c r="L75" s="1388">
        <f t="shared" si="0"/>
        <v>1164.1450393027917</v>
      </c>
    </row>
    <row r="76" spans="5:12">
      <c r="J76" s="1534">
        <v>10622.722307267886</v>
      </c>
      <c r="K76" s="1534">
        <v>10561.882642914878</v>
      </c>
      <c r="L76" s="1388">
        <f t="shared" si="0"/>
        <v>60.839664353008629</v>
      </c>
    </row>
    <row r="77" spans="5:12">
      <c r="J77" s="1534">
        <v>6935.2380313916246</v>
      </c>
      <c r="K77" s="1534">
        <v>6888.6586283105316</v>
      </c>
      <c r="L77" s="1388">
        <f t="shared" si="0"/>
        <v>46.579403081093005</v>
      </c>
    </row>
    <row r="78" spans="5:12">
      <c r="J78" s="1534">
        <v>9140.5263177362067</v>
      </c>
      <c r="K78" s="1534">
        <v>9076.8382024367129</v>
      </c>
      <c r="L78" s="1388">
        <f t="shared" si="0"/>
        <v>63.688115299493802</v>
      </c>
    </row>
    <row r="79" spans="5:12">
      <c r="J79" s="1534">
        <v>12741.552706813152</v>
      </c>
      <c r="K79" s="1534">
        <v>12651.353853573521</v>
      </c>
      <c r="L79" s="1388">
        <f t="shared" si="0"/>
        <v>90.198853239631717</v>
      </c>
    </row>
    <row r="80" spans="5:12">
      <c r="J80" s="1534">
        <v>188265.508190892</v>
      </c>
      <c r="K80" s="1534">
        <v>186938.81917011391</v>
      </c>
      <c r="L80" s="1388">
        <f t="shared" si="0"/>
        <v>1326.6890207780816</v>
      </c>
    </row>
    <row r="81" spans="10:12">
      <c r="J81" s="1534">
        <v>456569.99217379489</v>
      </c>
      <c r="K81" s="1534">
        <v>453292.85398579738</v>
      </c>
      <c r="L81" s="1388">
        <f t="shared" si="0"/>
        <v>3277.1381879975088</v>
      </c>
    </row>
    <row r="82" spans="10:12">
      <c r="J82" s="1534">
        <v>3024.8901178702768</v>
      </c>
      <c r="K82" s="1534">
        <v>3003.0332263920673</v>
      </c>
      <c r="L82" s="1388">
        <f t="shared" si="0"/>
        <v>21.856891478209491</v>
      </c>
    </row>
    <row r="83" spans="10:12">
      <c r="J83" s="1534">
        <v>145886.67231187003</v>
      </c>
      <c r="K83" s="1534">
        <v>142433.42657860837</v>
      </c>
      <c r="L83" s="1388">
        <f t="shared" si="0"/>
        <v>3453.2457332616614</v>
      </c>
    </row>
    <row r="84" spans="10:12">
      <c r="J84" s="1534">
        <v>316991.90340025874</v>
      </c>
      <c r="K84" s="1534">
        <v>314489.63330060086</v>
      </c>
      <c r="L84" s="1388">
        <f t="shared" si="0"/>
        <v>2502.2700996578787</v>
      </c>
    </row>
    <row r="85" spans="10:12">
      <c r="J85" s="1534">
        <v>724335.44717574492</v>
      </c>
      <c r="K85" s="1534">
        <v>718467.13067498105</v>
      </c>
      <c r="L85" s="1388">
        <f t="shared" si="0"/>
        <v>5868.3165007638745</v>
      </c>
    </row>
    <row r="86" spans="10:12">
      <c r="J86" s="1534">
        <v>246065.78989686657</v>
      </c>
      <c r="K86" s="1534">
        <v>244421.35953995908</v>
      </c>
      <c r="L86" s="1388">
        <f t="shared" si="0"/>
        <v>1644.4303569074837</v>
      </c>
    </row>
    <row r="87" spans="10:12">
      <c r="J87" s="1534">
        <v>247397.35032775503</v>
      </c>
      <c r="K87" s="1534">
        <v>245122.86632871011</v>
      </c>
      <c r="L87" s="1388">
        <f t="shared" si="0"/>
        <v>2274.4839990449254</v>
      </c>
    </row>
    <row r="88" spans="10:12">
      <c r="J88" s="1534">
        <v>196367.86686820016</v>
      </c>
      <c r="K88" s="1534">
        <v>105372.70906867021</v>
      </c>
      <c r="L88" s="1388">
        <f t="shared" si="0"/>
        <v>90995.157799529945</v>
      </c>
    </row>
    <row r="89" spans="10:12">
      <c r="J89" s="1534">
        <v>212200.23071787792</v>
      </c>
      <c r="K89" s="1534">
        <v>72305.937255510624</v>
      </c>
      <c r="L89" s="1388">
        <f t="shared" si="0"/>
        <v>139894.29346236729</v>
      </c>
    </row>
    <row r="90" spans="10:12">
      <c r="J90" s="1534">
        <v>44029.648839991532</v>
      </c>
      <c r="K90" s="1534">
        <v>24350.848452847567</v>
      </c>
      <c r="L90" s="1388">
        <f t="shared" si="0"/>
        <v>19678.800387143965</v>
      </c>
    </row>
    <row r="91" spans="10:12">
      <c r="J91" s="1534">
        <v>17747.499242866488</v>
      </c>
      <c r="L91" s="1388">
        <f t="shared" si="0"/>
        <v>17747.499242866488</v>
      </c>
    </row>
    <row r="92" spans="10:12">
      <c r="J92" s="1534">
        <v>129323.99038449433</v>
      </c>
      <c r="L92" s="1388">
        <f t="shared" si="0"/>
        <v>129323.99038449433</v>
      </c>
    </row>
    <row r="93" spans="10:12">
      <c r="J93" s="1534">
        <v>88446.55360379364</v>
      </c>
      <c r="L93" s="1388">
        <f t="shared" si="0"/>
        <v>88446.55360379364</v>
      </c>
    </row>
    <row r="94" spans="10:12">
      <c r="L94" s="1388">
        <f>SUM(L70:L93)</f>
        <v>997232.9745394924</v>
      </c>
    </row>
  </sheetData>
  <mergeCells count="2">
    <mergeCell ref="E13:G13"/>
    <mergeCell ref="T14:T16"/>
  </mergeCells>
  <pageMargins left="0.5" right="0.5" top="1" bottom="1" header="0.65" footer="0.5"/>
  <pageSetup scale="53" orientation="landscape" r:id="rId1"/>
  <headerFooter alignWithMargins="0">
    <oddHeader xml:space="preserve">&amp;R&amp;16AEP - SPP Formula Rate
Schedule 11 Revenue Requirements
Public Service Company of Oklahoma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showWhiteSpace="0" zoomScale="80" zoomScaleNormal="80" zoomScaleSheetLayoutView="100" workbookViewId="0">
      <selection activeCell="O34" sqref="O34"/>
    </sheetView>
  </sheetViews>
  <sheetFormatPr defaultRowHeight="12.75"/>
  <cols>
    <col min="1" max="1" width="9.140625" style="1282"/>
    <col min="2" max="2" width="46.85546875" style="1288" customWidth="1"/>
    <col min="3" max="3" width="21.28515625" style="1282" customWidth="1"/>
    <col min="4" max="4" width="14.85546875" style="1282" customWidth="1"/>
    <col min="5" max="5" width="18" style="1282" customWidth="1"/>
    <col min="6" max="10" width="9.140625" style="1282"/>
    <col min="11" max="12" width="14.7109375" style="1282" customWidth="1"/>
    <col min="13" max="16384" width="9.140625" style="1282"/>
  </cols>
  <sheetData>
    <row r="1" spans="1:12" ht="15">
      <c r="A1" s="1556" t="str">
        <f>+'SWEPCO TCOS'!F3</f>
        <v xml:space="preserve">AEP West SPP Member Operating Companies </v>
      </c>
      <c r="B1" s="1556"/>
      <c r="C1" s="1556"/>
      <c r="D1" s="1556"/>
      <c r="E1" s="1556"/>
    </row>
    <row r="2" spans="1:12" ht="15">
      <c r="A2" s="1553" t="str">
        <f>+'SWEPCO WS A RB Support '!A2</f>
        <v xml:space="preserve">Actual / Projected 2019 Rate Year Cost of Service Formula Rate </v>
      </c>
      <c r="B2" s="1553"/>
      <c r="C2" s="1553"/>
      <c r="D2" s="1553"/>
      <c r="E2" s="1553"/>
    </row>
    <row r="3" spans="1:12" ht="15.75">
      <c r="A3" s="1607" t="str">
        <f>"Worksheet M"</f>
        <v>Worksheet M</v>
      </c>
      <c r="B3" s="1607"/>
      <c r="C3" s="1607"/>
      <c r="D3" s="1607"/>
      <c r="E3" s="1607"/>
    </row>
    <row r="4" spans="1:12" ht="15">
      <c r="A4" s="1604" t="str">
        <f>+'SWEPCO TCOS'!F7</f>
        <v>SOUTHWESTERN ELECTRIC POWER COMPANY</v>
      </c>
      <c r="B4" s="1604"/>
      <c r="C4" s="1604"/>
      <c r="D4" s="1604"/>
      <c r="E4" s="1604"/>
    </row>
    <row r="5" spans="1:12" ht="31.5" customHeight="1">
      <c r="A5" s="1605" t="str">
        <f>"Calculation of Capital Structure and Weighted Average Cost of Capital Based on Average of Balances At 12/31/"&amp;'SWEPCO TCOS'!$N$1-1&amp;" and 12/31/"&amp;'SWEPCO TCOS'!$N$1&amp;""</f>
        <v>Calculation of Capital Structure and Weighted Average Cost of Capital Based on Average of Balances At 12/31/2018 and 12/31/2019</v>
      </c>
      <c r="B5" s="1606"/>
      <c r="C5" s="1606"/>
      <c r="D5" s="1606"/>
      <c r="E5" s="1606"/>
    </row>
    <row r="6" spans="1:12" ht="9.75" customHeight="1">
      <c r="A6" s="137"/>
      <c r="B6" s="1322"/>
      <c r="C6" s="1322"/>
    </row>
    <row r="7" spans="1:12" ht="19.5" customHeight="1">
      <c r="A7" s="1043" t="s">
        <v>338</v>
      </c>
      <c r="B7" s="1043" t="s">
        <v>339</v>
      </c>
      <c r="C7" s="1043" t="s">
        <v>60</v>
      </c>
      <c r="D7" s="1043" t="s">
        <v>341</v>
      </c>
      <c r="E7" s="1043" t="s">
        <v>266</v>
      </c>
      <c r="F7" s="343"/>
    </row>
    <row r="8" spans="1:12" ht="18.75" customHeight="1">
      <c r="B8" s="344"/>
      <c r="C8" s="178" t="s">
        <v>27</v>
      </c>
      <c r="D8" s="178" t="s">
        <v>27</v>
      </c>
      <c r="E8" s="344"/>
      <c r="F8" s="344"/>
      <c r="G8" s="214"/>
    </row>
    <row r="9" spans="1:12" ht="12.75" customHeight="1">
      <c r="A9" s="1284" t="s">
        <v>345</v>
      </c>
      <c r="B9" s="344"/>
      <c r="C9" s="909" t="str">
        <f>"12/31/"&amp;'SWEPCO TCOS'!$N$1&amp;""</f>
        <v>12/31/2019</v>
      </c>
      <c r="D9" s="909" t="str">
        <f>"12/31/"&amp;'SWEPCO TCOS'!$N$1-1&amp;""</f>
        <v>12/31/2018</v>
      </c>
      <c r="E9" s="193" t="s">
        <v>212</v>
      </c>
      <c r="F9" s="344"/>
    </row>
    <row r="10" spans="1:12" ht="12.75" customHeight="1">
      <c r="A10" s="1323" t="s">
        <v>61</v>
      </c>
      <c r="C10" s="216"/>
      <c r="D10" s="216"/>
      <c r="E10" s="38"/>
      <c r="F10" s="8"/>
      <c r="G10" s="8"/>
      <c r="H10" s="8"/>
      <c r="I10" s="45"/>
    </row>
    <row r="11" spans="1:12" ht="12.75" customHeight="1">
      <c r="A11" s="155"/>
      <c r="B11" s="1324"/>
      <c r="C11" s="216"/>
      <c r="D11" s="216"/>
      <c r="E11" s="38"/>
      <c r="F11" s="8"/>
      <c r="G11" s="8"/>
      <c r="H11" s="8"/>
      <c r="I11" s="45"/>
      <c r="K11"/>
      <c r="L11"/>
    </row>
    <row r="12" spans="1:12" ht="12.75" customHeight="1">
      <c r="A12" s="155">
        <v>1</v>
      </c>
      <c r="B12" s="305" t="s">
        <v>188</v>
      </c>
      <c r="C12" s="1120">
        <f>+'[4]Inputs 2019'!H464</f>
        <v>2411193635.9361401</v>
      </c>
      <c r="D12" s="1120">
        <f>+'[4]Inputs 2019'!I464</f>
        <v>2313077120.9465299</v>
      </c>
      <c r="E12" s="207">
        <f>AVERAGE(C12:D12)</f>
        <v>2362135378.4413347</v>
      </c>
      <c r="F12" s="8"/>
      <c r="G12" s="8"/>
      <c r="H12" s="8"/>
      <c r="K12"/>
      <c r="L12"/>
    </row>
    <row r="13" spans="1:12" ht="12.75" customHeight="1">
      <c r="A13" s="155">
        <f>+A12+1</f>
        <v>2</v>
      </c>
      <c r="B13" s="216" t="str">
        <f>"Less Preferred Stock from Ln "&amp;A67&amp;" below"</f>
        <v>Less Preferred Stock from Ln 43 below</v>
      </c>
      <c r="C13" s="1240">
        <f>+C67</f>
        <v>0</v>
      </c>
      <c r="D13" s="1240">
        <f>+D67</f>
        <v>0</v>
      </c>
      <c r="E13" s="207">
        <f>AVERAGE(C13:D13)</f>
        <v>0</v>
      </c>
      <c r="F13" s="8"/>
      <c r="G13" s="8"/>
      <c r="H13" s="8"/>
      <c r="K13"/>
      <c r="L13"/>
    </row>
    <row r="14" spans="1:12" ht="12.75" customHeight="1">
      <c r="A14" s="155">
        <f>+A13+1</f>
        <v>3</v>
      </c>
      <c r="B14" s="305" t="s">
        <v>186</v>
      </c>
      <c r="C14" s="1120">
        <f>+'[4]Inputs 2019'!H466</f>
        <v>31744488.366</v>
      </c>
      <c r="D14" s="1120">
        <f>+'[4]Inputs 2019'!I466</f>
        <v>31744488.366</v>
      </c>
      <c r="E14" s="207">
        <f>AVERAGE(C14:D14)</f>
        <v>31744488.366</v>
      </c>
      <c r="F14" s="8"/>
      <c r="G14" s="8"/>
      <c r="H14" s="8"/>
      <c r="K14"/>
      <c r="L14"/>
    </row>
    <row r="15" spans="1:12" ht="12.75" customHeight="1">
      <c r="A15" s="155">
        <f>+A14+1</f>
        <v>4</v>
      </c>
      <c r="B15" s="305" t="s">
        <v>187</v>
      </c>
      <c r="C15" s="1120">
        <f>+'[4]Inputs 2019'!H467</f>
        <v>-305149.310424998</v>
      </c>
      <c r="D15" s="1120">
        <f>+'[4]Inputs 2019'!I467</f>
        <v>-1974641.37882499</v>
      </c>
      <c r="E15" s="205">
        <f>AVERAGE(C15:D15)</f>
        <v>-1139895.3446249941</v>
      </c>
      <c r="F15" s="8"/>
      <c r="G15" s="8"/>
      <c r="H15" s="8"/>
      <c r="K15"/>
      <c r="L15"/>
    </row>
    <row r="16" spans="1:12" ht="12.75" customHeight="1">
      <c r="A16" s="726">
        <f>+A15+1</f>
        <v>5</v>
      </c>
      <c r="B16" s="218" t="s">
        <v>204</v>
      </c>
      <c r="C16" s="660">
        <f>+C12-C13-C14-C15</f>
        <v>2379754296.8805647</v>
      </c>
      <c r="D16" s="660">
        <f>+D12-D13-D14-D15</f>
        <v>2283307273.9593549</v>
      </c>
      <c r="E16" s="219">
        <f>+E12-E13-E14-E15</f>
        <v>2331530785.4199595</v>
      </c>
      <c r="F16" s="7"/>
      <c r="G16" s="7"/>
      <c r="H16" s="7"/>
      <c r="K16"/>
      <c r="L16"/>
    </row>
    <row r="17" spans="1:12" ht="12.75" customHeight="1">
      <c r="C17" s="1241"/>
      <c r="D17" s="1286"/>
      <c r="K17"/>
      <c r="L17"/>
    </row>
    <row r="18" spans="1:12" ht="12.75" customHeight="1">
      <c r="A18" s="1323" t="s">
        <v>199</v>
      </c>
      <c r="C18" s="1241"/>
      <c r="D18" s="1286"/>
      <c r="K18"/>
      <c r="L18"/>
    </row>
    <row r="19" spans="1:12" ht="12.75" customHeight="1">
      <c r="A19" s="149"/>
      <c r="B19" s="1324"/>
      <c r="C19" s="1281"/>
      <c r="D19" s="1286"/>
      <c r="K19"/>
      <c r="L19"/>
    </row>
    <row r="20" spans="1:12" ht="12.75" customHeight="1">
      <c r="A20" s="155">
        <f>+A16+1</f>
        <v>6</v>
      </c>
      <c r="B20" s="1046" t="s">
        <v>1154</v>
      </c>
      <c r="C20" s="1120">
        <v>0</v>
      </c>
      <c r="D20" s="1120">
        <v>0</v>
      </c>
      <c r="E20" s="207">
        <f t="shared" ref="E20:E25" si="0">IF(C20=D20=0,0,AVERAGE(C20:D20))</f>
        <v>0</v>
      </c>
      <c r="K20"/>
      <c r="L20"/>
    </row>
    <row r="21" spans="1:12" ht="12.75" customHeight="1">
      <c r="A21" s="155">
        <f>+A20+1</f>
        <v>7</v>
      </c>
      <c r="B21" s="1046" t="s">
        <v>1155</v>
      </c>
      <c r="C21" s="1120">
        <v>0</v>
      </c>
      <c r="D21" s="1120">
        <v>0</v>
      </c>
      <c r="E21" s="207">
        <f t="shared" si="0"/>
        <v>0</v>
      </c>
      <c r="K21"/>
      <c r="L21"/>
    </row>
    <row r="22" spans="1:12" ht="12.75" customHeight="1">
      <c r="A22" s="155">
        <f>+A21+1</f>
        <v>8</v>
      </c>
      <c r="B22" s="1046" t="s">
        <v>1156</v>
      </c>
      <c r="C22" s="1120">
        <v>0</v>
      </c>
      <c r="D22" s="1120">
        <v>0</v>
      </c>
      <c r="E22" s="207">
        <f t="shared" si="0"/>
        <v>0</v>
      </c>
      <c r="K22"/>
      <c r="L22"/>
    </row>
    <row r="23" spans="1:12" ht="12.75" customHeight="1">
      <c r="A23" s="155">
        <f>+A22+1</f>
        <v>9</v>
      </c>
      <c r="B23" s="1046" t="s">
        <v>1157</v>
      </c>
      <c r="C23" s="1120">
        <f>+'[4]Inputs 2019'!H475</f>
        <v>2710125000</v>
      </c>
      <c r="D23" s="1120">
        <f>+'[4]Inputs 2019'!I475</f>
        <v>2616875000</v>
      </c>
      <c r="E23" s="161">
        <f t="shared" si="0"/>
        <v>2663500000</v>
      </c>
      <c r="K23"/>
      <c r="L23"/>
    </row>
    <row r="24" spans="1:12" s="1244" customFormat="1" ht="12.75" customHeight="1">
      <c r="A24" s="155">
        <f>+A23+1</f>
        <v>10</v>
      </c>
      <c r="B24" s="1046" t="s">
        <v>1167</v>
      </c>
      <c r="C24" s="1242">
        <v>0</v>
      </c>
      <c r="D24" s="1242">
        <v>0</v>
      </c>
      <c r="E24" s="1243">
        <f t="shared" si="0"/>
        <v>0</v>
      </c>
      <c r="K24" s="1263"/>
      <c r="L24" s="1263"/>
    </row>
    <row r="25" spans="1:12" ht="12.75" customHeight="1">
      <c r="A25" s="726">
        <f>+A24+1</f>
        <v>11</v>
      </c>
      <c r="B25" s="1047" t="s">
        <v>1166</v>
      </c>
      <c r="C25" s="1133">
        <f>+C20-C21+C22+C23+C24</f>
        <v>2710125000</v>
      </c>
      <c r="D25" s="1133">
        <f>+D20-D21+D22+D23+D24</f>
        <v>2616875000</v>
      </c>
      <c r="E25" s="1035">
        <f t="shared" si="0"/>
        <v>2663500000</v>
      </c>
      <c r="K25"/>
      <c r="L25"/>
    </row>
    <row r="26" spans="1:12" ht="12.75" customHeight="1">
      <c r="A26" s="155"/>
      <c r="B26" s="1351"/>
      <c r="D26" s="1286"/>
      <c r="K26"/>
      <c r="L26"/>
    </row>
    <row r="27" spans="1:12" ht="12.75" customHeight="1">
      <c r="A27" s="155">
        <f>+A25+1</f>
        <v>12</v>
      </c>
      <c r="B27" s="1325" t="s">
        <v>1162</v>
      </c>
      <c r="C27" s="1101"/>
      <c r="D27" s="1286"/>
      <c r="K27"/>
      <c r="L27"/>
    </row>
    <row r="28" spans="1:12" ht="12.75" customHeight="1">
      <c r="A28" s="155">
        <f t="shared" ref="A28:A36" si="1">+A27+1</f>
        <v>13</v>
      </c>
      <c r="B28" s="1245" t="s">
        <v>1101</v>
      </c>
      <c r="C28" s="1101"/>
      <c r="D28" s="1286"/>
      <c r="E28" s="1120">
        <f>+'[4]Inputs 2019'!$H$484</f>
        <v>120162078.507755</v>
      </c>
      <c r="H28" s="1348"/>
      <c r="K28"/>
      <c r="L28"/>
    </row>
    <row r="29" spans="1:12" ht="12.75" customHeight="1">
      <c r="A29" s="155">
        <f t="shared" si="1"/>
        <v>14</v>
      </c>
      <c r="B29" s="1351" t="str">
        <f>"Less: Financial Hedge Gain/Expense from Ln "&amp;A45&amp;" Included in Ln "&amp;A28&amp;""</f>
        <v>Less: Financial Hedge Gain/Expense from Ln 28 Included in Ln 13</v>
      </c>
      <c r="C29" s="1101"/>
      <c r="D29" s="1286"/>
      <c r="E29" s="1229">
        <f>E45</f>
        <v>2212653</v>
      </c>
      <c r="H29" s="1348"/>
      <c r="K29"/>
      <c r="L29"/>
    </row>
    <row r="30" spans="1:12" ht="12.75" customHeight="1">
      <c r="A30" s="155">
        <f t="shared" si="1"/>
        <v>15</v>
      </c>
      <c r="B30" s="1351" t="str">
        <f>"Plus:  Allowed Hedge Recovery from Ln "&amp;A49&amp;" below"</f>
        <v>Plus:  Allowed Hedge Recovery from Ln 32 below</v>
      </c>
      <c r="C30" s="1101"/>
      <c r="D30" s="1286"/>
      <c r="E30" s="1229">
        <f>+E49</f>
        <v>2212653</v>
      </c>
      <c r="H30" s="1348"/>
      <c r="K30"/>
      <c r="L30"/>
    </row>
    <row r="31" spans="1:12" ht="12.75" customHeight="1">
      <c r="A31" s="155">
        <f t="shared" si="1"/>
        <v>16</v>
      </c>
      <c r="B31" s="1046" t="s">
        <v>1158</v>
      </c>
      <c r="C31" s="38"/>
      <c r="D31" s="38"/>
      <c r="E31" s="1120">
        <f>+'[4]Inputs 2019'!$H$487</f>
        <v>1774381.65546218</v>
      </c>
      <c r="H31" s="1348"/>
    </row>
    <row r="32" spans="1:12" ht="12.75" customHeight="1">
      <c r="A32" s="155">
        <f t="shared" si="1"/>
        <v>17</v>
      </c>
      <c r="B32" s="1046" t="s">
        <v>1159</v>
      </c>
      <c r="C32" s="1332"/>
      <c r="D32" s="1286"/>
      <c r="E32" s="1120">
        <f>+'[4]Inputs 2019'!$H$488</f>
        <v>206543.99999999898</v>
      </c>
      <c r="H32" s="1348"/>
    </row>
    <row r="33" spans="1:6" ht="12.75" customHeight="1">
      <c r="A33" s="155">
        <f t="shared" si="1"/>
        <v>18</v>
      </c>
      <c r="B33" s="1046" t="s">
        <v>1160</v>
      </c>
      <c r="C33" s="1332"/>
      <c r="D33" s="1286"/>
      <c r="E33" s="1120">
        <v>0</v>
      </c>
    </row>
    <row r="34" spans="1:6" ht="12.75" customHeight="1">
      <c r="A34" s="155">
        <f t="shared" si="1"/>
        <v>19</v>
      </c>
      <c r="B34" s="1046" t="s">
        <v>1161</v>
      </c>
      <c r="C34" s="1332"/>
      <c r="D34" s="1286"/>
      <c r="E34" s="1120">
        <v>0</v>
      </c>
    </row>
    <row r="35" spans="1:6" s="1244" customFormat="1" ht="12.75" customHeight="1">
      <c r="A35" s="155">
        <f t="shared" si="1"/>
        <v>20</v>
      </c>
      <c r="B35" s="1046" t="s">
        <v>1168</v>
      </c>
      <c r="C35" s="1246"/>
      <c r="D35" s="1247"/>
      <c r="E35" s="1242">
        <v>0</v>
      </c>
    </row>
    <row r="36" spans="1:6" ht="12.75" customHeight="1">
      <c r="A36" s="726">
        <f t="shared" si="1"/>
        <v>21</v>
      </c>
      <c r="B36" s="1248" t="str">
        <f>"Total Interest Expense (Ln "&amp;A28&amp;" + Ln "&amp;A29&amp;" + Ln "&amp;A30&amp;" + Ln "&amp;A31&amp;" + Ln "&amp;A32&amp;" - Ln "&amp;A33&amp;" - Ln "&amp;A34&amp;" - Ln "&amp;A35&amp;")"</f>
        <v>Total Interest Expense (Ln 13 + Ln 14 + Ln 15 + Ln 16 + Ln 17 - Ln 18 - Ln 19 - Ln 20)</v>
      </c>
      <c r="C36" s="1249"/>
      <c r="D36" s="1250"/>
      <c r="E36" s="1251">
        <f>+E28-E29+E30+E31+E32-E33-E34-E35</f>
        <v>122143004.16321717</v>
      </c>
    </row>
    <row r="37" spans="1:6" ht="12.75" customHeight="1" thickBot="1">
      <c r="A37" s="155"/>
      <c r="B37" s="1351"/>
      <c r="C37" s="1332"/>
      <c r="D37" s="1286"/>
      <c r="E37" s="1252"/>
    </row>
    <row r="38" spans="1:6" ht="12.75" customHeight="1" thickBot="1">
      <c r="A38" s="726">
        <f>+A36+1</f>
        <v>22</v>
      </c>
      <c r="B38" s="1325" t="str">
        <f>"Average Cost of Debt (Ln "&amp;A36&amp;"/Ln "&amp;A25&amp;")"</f>
        <v>Average Cost of Debt (Ln 21/Ln 11)</v>
      </c>
      <c r="C38" s="1326"/>
      <c r="D38" s="1286"/>
      <c r="E38" s="1327">
        <f>+E36/E25</f>
        <v>4.5858083034810274E-2</v>
      </c>
    </row>
    <row r="39" spans="1:6" ht="12.75" customHeight="1">
      <c r="A39" s="155"/>
      <c r="B39" s="1351"/>
      <c r="C39" s="1332"/>
      <c r="D39" s="1286"/>
      <c r="E39" s="1332"/>
    </row>
    <row r="40" spans="1:6" ht="12.75" customHeight="1">
      <c r="A40" s="155">
        <f>+A38+1</f>
        <v>23</v>
      </c>
      <c r="B40" s="1351" t="s">
        <v>159</v>
      </c>
      <c r="C40" s="1332"/>
      <c r="D40" s="1286"/>
      <c r="E40" s="1332"/>
    </row>
    <row r="41" spans="1:6" ht="12.75" customHeight="1">
      <c r="A41" s="155">
        <f t="shared" ref="A41:A49" si="2">+A40+1</f>
        <v>24</v>
      </c>
      <c r="B41" s="1120" t="s">
        <v>1494</v>
      </c>
      <c r="C41" s="1332"/>
      <c r="D41" s="1286"/>
      <c r="E41" s="1120">
        <v>2212653</v>
      </c>
      <c r="F41" s="1360"/>
    </row>
    <row r="42" spans="1:6" ht="12.75" customHeight="1">
      <c r="A42" s="155">
        <f t="shared" si="2"/>
        <v>25</v>
      </c>
      <c r="B42" s="1120" t="s">
        <v>797</v>
      </c>
      <c r="C42" s="1332"/>
      <c r="D42" s="1286"/>
      <c r="E42" s="1120">
        <v>0</v>
      </c>
    </row>
    <row r="43" spans="1:6" ht="12.75" customHeight="1">
      <c r="A43" s="155">
        <f t="shared" si="2"/>
        <v>26</v>
      </c>
      <c r="B43" s="1253"/>
      <c r="C43" s="1332"/>
      <c r="D43" s="1286"/>
      <c r="E43" s="1120"/>
    </row>
    <row r="44" spans="1:6" ht="12.75" customHeight="1">
      <c r="A44" s="155">
        <f t="shared" si="2"/>
        <v>27</v>
      </c>
      <c r="B44" s="1253"/>
      <c r="C44" s="1332"/>
      <c r="D44" s="1286"/>
      <c r="E44" s="1120"/>
    </row>
    <row r="45" spans="1:6" ht="12.75" customHeight="1">
      <c r="A45" s="155">
        <f t="shared" si="2"/>
        <v>28</v>
      </c>
      <c r="B45" s="1351" t="s">
        <v>200</v>
      </c>
      <c r="C45" s="1332"/>
      <c r="D45" s="1286"/>
      <c r="E45" s="1254">
        <f>SUM(E41:E44)</f>
        <v>2212653</v>
      </c>
    </row>
    <row r="46" spans="1:6" ht="12.75" customHeight="1">
      <c r="A46" s="155">
        <f t="shared" si="2"/>
        <v>29</v>
      </c>
      <c r="B46" s="1351" t="str">
        <f>"Total Average Capital Balance  (TCOS, Ln "&amp;'SWEPCO TCOS'!B234&amp;")"</f>
        <v>Total Average Capital Balance  (TCOS, Ln 142)</v>
      </c>
      <c r="C46" s="1332"/>
      <c r="D46" s="1286"/>
      <c r="E46" s="1255">
        <f>+'SWEPCO TCOS'!E234</f>
        <v>4995030785.41996</v>
      </c>
    </row>
    <row r="47" spans="1:6" ht="12.75" customHeight="1">
      <c r="A47" s="155">
        <f t="shared" si="2"/>
        <v>30</v>
      </c>
      <c r="B47" s="1351" t="s">
        <v>201</v>
      </c>
      <c r="C47" s="1332"/>
      <c r="D47" s="1286"/>
      <c r="E47" s="1256">
        <f>0.0005</f>
        <v>5.0000000000000001E-4</v>
      </c>
    </row>
    <row r="48" spans="1:6" ht="12.75" customHeight="1" thickBot="1">
      <c r="A48" s="155">
        <f t="shared" si="2"/>
        <v>31</v>
      </c>
      <c r="B48" s="1351" t="s">
        <v>202</v>
      </c>
      <c r="C48" s="1332"/>
      <c r="D48" s="1286"/>
      <c r="E48" s="1126">
        <f>IF(E45&lt;0,ROUND(+E46*-E47,0),ROUND(+E46*E47,0))</f>
        <v>2497515</v>
      </c>
    </row>
    <row r="49" spans="1:5" ht="12.75" customHeight="1" thickBot="1">
      <c r="A49" s="155">
        <f t="shared" si="2"/>
        <v>32</v>
      </c>
      <c r="B49" s="1325" t="str">
        <f>"Recoverable Hedge Amortization (Lesser of Ln "&amp;A45&amp;" or "&amp;A48&amp;")"</f>
        <v>Recoverable Hedge Amortization (Lesser of Ln 28 or 31)</v>
      </c>
      <c r="C49" s="1332"/>
      <c r="D49" s="1286"/>
      <c r="E49" s="1257">
        <f>+IF(ABS(E48)&lt;ABS(E45),E48,E45)</f>
        <v>2212653</v>
      </c>
    </row>
    <row r="50" spans="1:5" ht="12.75" customHeight="1">
      <c r="A50" s="149"/>
      <c r="B50" s="1369" t="str">
        <f>"(lesser of 5 basis point Cap or Actual (Gain)/Expense based on magnitude as indicated on Ln "&amp;A45&amp;" or Ln "&amp;A48&amp;")"</f>
        <v>(lesser of 5 basis point Cap or Actual (Gain)/Expense based on magnitude as indicated on Ln 28 or Ln 31)</v>
      </c>
      <c r="C50" s="1332"/>
      <c r="D50" s="1286"/>
      <c r="E50" s="1332"/>
    </row>
    <row r="51" spans="1:5" ht="12.75" customHeight="1">
      <c r="A51" s="149"/>
      <c r="B51" s="1351"/>
      <c r="C51" s="1332"/>
      <c r="D51" s="1286"/>
      <c r="E51" s="1332"/>
    </row>
    <row r="52" spans="1:5" ht="12.75" customHeight="1">
      <c r="A52" s="1328" t="s">
        <v>203</v>
      </c>
      <c r="C52" s="1332"/>
      <c r="D52" s="1286"/>
      <c r="E52" s="1332"/>
    </row>
    <row r="53" spans="1:5" ht="12.75" customHeight="1">
      <c r="A53" s="149"/>
      <c r="B53" s="1351"/>
      <c r="C53" s="1332"/>
      <c r="D53" s="1286"/>
      <c r="E53" s="1332"/>
    </row>
    <row r="54" spans="1:5" ht="12.75" customHeight="1">
      <c r="A54" s="149"/>
      <c r="B54" s="1307" t="s">
        <v>423</v>
      </c>
      <c r="C54" s="1329"/>
      <c r="D54" s="1286"/>
      <c r="E54" s="1329" t="s">
        <v>212</v>
      </c>
    </row>
    <row r="55" spans="1:5" ht="12.75" customHeight="1">
      <c r="A55" s="155">
        <f>+A49+1</f>
        <v>33</v>
      </c>
      <c r="B55" s="1286" t="s">
        <v>461</v>
      </c>
      <c r="C55" s="1258"/>
      <c r="D55" s="1258"/>
      <c r="E55" s="1329"/>
    </row>
    <row r="56" spans="1:5" ht="12.75" customHeight="1">
      <c r="A56" s="155">
        <f>+A55+1</f>
        <v>34</v>
      </c>
      <c r="B56" s="1286" t="s">
        <v>462</v>
      </c>
      <c r="C56" s="1120"/>
      <c r="D56" s="1120"/>
      <c r="E56" s="1329"/>
    </row>
    <row r="57" spans="1:5" ht="12.75" customHeight="1">
      <c r="A57" s="155">
        <f>+A56+1</f>
        <v>35</v>
      </c>
      <c r="B57" s="1286" t="s">
        <v>463</v>
      </c>
      <c r="C57" s="1120"/>
      <c r="D57" s="1120"/>
      <c r="E57" s="1309"/>
    </row>
    <row r="58" spans="1:5" ht="12.75" customHeight="1">
      <c r="A58" s="155">
        <f>+A57+1</f>
        <v>36</v>
      </c>
      <c r="B58" s="1286" t="str">
        <f>IF(ISBLANK(C55)," __% Series - "&amp;C56&amp;" - Monetary Value (Ln "&amp;A56&amp;" * Ln "&amp;A57&amp;")"," "&amp;C55*100&amp;"% Series - "&amp;C56&amp;" - Monetary Value (Ln "&amp;A56&amp;" * Ln "&amp;A57&amp;")")</f>
        <v xml:space="preserve"> __% Series -  - Monetary Value (Ln 34 * Ln 35)</v>
      </c>
      <c r="C58" s="1101">
        <f>+C57*C56</f>
        <v>0</v>
      </c>
      <c r="D58" s="1101">
        <f>+D57*D56</f>
        <v>0</v>
      </c>
      <c r="E58" s="207">
        <f>IF(C58=D58=0,0,AVERAGE(C58:D58))</f>
        <v>0</v>
      </c>
    </row>
    <row r="59" spans="1:5" ht="12.75" customHeight="1">
      <c r="A59" s="155">
        <f>+A58+1</f>
        <v>37</v>
      </c>
      <c r="B59" s="1286" t="str">
        <f>IF(ISBLANK(C55)," __% Series - "&amp;C56&amp;" -  Dividend Amount (Ln "&amp;A55&amp;" * Ln "&amp;A58&amp;")"," "&amp;C55*100&amp;"% Series - "&amp;C56&amp;" -  Dividend Amount (Ln "&amp;A55&amp;" * Ln "&amp;A58&amp;")")</f>
        <v xml:space="preserve"> __% Series -  -  Dividend Amount (Ln 33 * Ln 36)</v>
      </c>
      <c r="C59" s="1101">
        <f>+C58*C55</f>
        <v>0</v>
      </c>
      <c r="D59" s="1101">
        <f>+D58*D55</f>
        <v>0</v>
      </c>
      <c r="E59" s="207">
        <f>IF(C59=D59=0,0,AVERAGE(C59:D59))</f>
        <v>0</v>
      </c>
    </row>
    <row r="60" spans="1:5" ht="12.75" customHeight="1">
      <c r="A60" s="155"/>
      <c r="B60" s="1286"/>
      <c r="C60" s="1101"/>
      <c r="D60" s="1306"/>
      <c r="E60" s="1309"/>
    </row>
    <row r="61" spans="1:5" ht="12.75" customHeight="1">
      <c r="A61" s="155">
        <f>+A59+1</f>
        <v>38</v>
      </c>
      <c r="B61" s="1286" t="s">
        <v>461</v>
      </c>
      <c r="C61" s="1120"/>
      <c r="D61" s="1120"/>
      <c r="E61" s="207"/>
    </row>
    <row r="62" spans="1:5" ht="12.75" customHeight="1">
      <c r="A62" s="155">
        <f>+A61+1</f>
        <v>39</v>
      </c>
      <c r="B62" s="1286" t="s">
        <v>462</v>
      </c>
      <c r="C62" s="1120"/>
      <c r="D62" s="1120"/>
      <c r="E62" s="207"/>
    </row>
    <row r="63" spans="1:5" ht="12.75" customHeight="1">
      <c r="A63" s="155">
        <f>+A62+1</f>
        <v>40</v>
      </c>
      <c r="B63" s="1286" t="s">
        <v>463</v>
      </c>
      <c r="C63" s="1120"/>
      <c r="D63" s="1120"/>
      <c r="E63" s="1309"/>
    </row>
    <row r="64" spans="1:5" ht="12.75" customHeight="1">
      <c r="A64" s="155">
        <f>+A63+1</f>
        <v>41</v>
      </c>
      <c r="B64" s="1286" t="str">
        <f>IF(ISBLANK(C61)," __% Series - "&amp;C62&amp;" - Monetary Value (Ln "&amp;A62&amp;" * Ln "&amp;A63&amp;")"," "&amp;C61*100&amp;"% Series - "&amp;C62&amp;" - Monetary Value (Ln "&amp;A62&amp;" * Ln "&amp;A63&amp;")")</f>
        <v xml:space="preserve"> __% Series -  - Monetary Value (Ln 39 * Ln 40)</v>
      </c>
      <c r="C64" s="1101">
        <f>+C63*C62</f>
        <v>0</v>
      </c>
      <c r="D64" s="1101">
        <f>+D63*D62</f>
        <v>0</v>
      </c>
      <c r="E64" s="207">
        <f>IF(C64=D64=0,0,AVERAGE(C64:D64))</f>
        <v>0</v>
      </c>
    </row>
    <row r="65" spans="1:5" ht="12.75" customHeight="1">
      <c r="A65" s="155">
        <f>+A64+1</f>
        <v>42</v>
      </c>
      <c r="B65" s="1286" t="str">
        <f>IF(ISBLANK(C61)," __% Series - "&amp;C62&amp;" -  Dividend Amount (Ln "&amp;A61&amp;" * Ln "&amp;A64&amp;")"," "&amp;C61*100&amp;"% Series - "&amp;C62&amp;" -  Dividend Amount (Ln "&amp;A61&amp;" * Ln "&amp;A64&amp;")")</f>
        <v xml:space="preserve"> __% Series -  -  Dividend Amount (Ln 38 * Ln 41)</v>
      </c>
      <c r="C65" s="1101">
        <f>+C64*C61</f>
        <v>0</v>
      </c>
      <c r="D65" s="1101">
        <f>+D64*D61</f>
        <v>0</v>
      </c>
      <c r="E65" s="207">
        <f>IF(C65=D65=0,0,AVERAGE(C65:D65))</f>
        <v>0</v>
      </c>
    </row>
    <row r="66" spans="1:5" ht="12.75" customHeight="1">
      <c r="A66" s="155"/>
      <c r="B66" s="1286"/>
      <c r="C66" s="1101"/>
      <c r="D66" s="1101"/>
      <c r="E66" s="207"/>
    </row>
    <row r="67" spans="1:5" ht="12.75" customHeight="1">
      <c r="A67" s="155">
        <f>+A65+1</f>
        <v>43</v>
      </c>
      <c r="B67" s="1324" t="str">
        <f>"Balance of Preferred Stock (Lns "&amp;A58&amp;", "&amp;A64&amp;")"</f>
        <v>Balance of Preferred Stock (Lns 36, 41)</v>
      </c>
      <c r="C67" s="1101">
        <f>+C58+C64</f>
        <v>0</v>
      </c>
      <c r="D67" s="1101">
        <f>+D58+D64</f>
        <v>0</v>
      </c>
      <c r="E67" s="1330">
        <f>+E58+E64</f>
        <v>0</v>
      </c>
    </row>
    <row r="68" spans="1:5" ht="12.75" customHeight="1" thickBot="1">
      <c r="A68" s="155">
        <f>+A67+1</f>
        <v>44</v>
      </c>
      <c r="B68" s="1324" t="str">
        <f>"Dividends on Preferred Stock (Lns "&amp;A59&amp;", "&amp;A65&amp;")"</f>
        <v>Dividends on Preferred Stock (Lns 37, 42)</v>
      </c>
      <c r="C68" s="1319">
        <f>+C65+C59</f>
        <v>0</v>
      </c>
      <c r="D68" s="1319">
        <f>+D65+D59</f>
        <v>0</v>
      </c>
      <c r="E68" s="1331">
        <f>+E65+E59</f>
        <v>0</v>
      </c>
    </row>
    <row r="69" spans="1:5" ht="12.75" customHeight="1" thickBot="1">
      <c r="A69" s="155">
        <f>+A68+1</f>
        <v>45</v>
      </c>
      <c r="B69" s="1290" t="str">
        <f>"Average Cost of Preferred Stock (Ln "&amp;A68&amp;"/"&amp;A67&amp;")"</f>
        <v>Average Cost of Preferred Stock (Ln 44/43)</v>
      </c>
      <c r="C69" s="1332">
        <f>IF(C67=0,0,C68/C67)</f>
        <v>0</v>
      </c>
      <c r="D69" s="1332">
        <f>IF(D67=0,0,D68/D67)</f>
        <v>0</v>
      </c>
      <c r="E69" s="1327">
        <f>IF(E68=0,0,ROUND(E68/E67,10))</f>
        <v>0</v>
      </c>
    </row>
    <row r="72" spans="1:5">
      <c r="D72" s="1348"/>
    </row>
  </sheetData>
  <mergeCells count="5">
    <mergeCell ref="A1:E1"/>
    <mergeCell ref="A2:E2"/>
    <mergeCell ref="A3:E3"/>
    <mergeCell ref="A4:E4"/>
    <mergeCell ref="A5:E5"/>
  </mergeCells>
  <printOptions horizontalCentered="1"/>
  <pageMargins left="0.25" right="0.25" top="1" bottom="0.25" header="0.65" footer="0.5"/>
  <pageSetup scale="77" orientation="portrait" r:id="rId1"/>
  <headerFooter alignWithMargins="0">
    <oddHeader xml:space="preserve">&amp;R&amp;12AEP - SPP Formula Rate
TCOS - WS M
Page: &amp;P of &amp;N&amp;16
</oddHeader>
    <oddFooter xml:space="preserve">&amp;R &amp;C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W117"/>
  <sheetViews>
    <sheetView tabSelected="1" zoomScale="70" zoomScaleNormal="70" zoomScaleSheetLayoutView="84" workbookViewId="0">
      <pane ySplit="16" topLeftCell="A17" activePane="bottomLeft" state="frozen"/>
      <selection activeCell="O34" sqref="O34"/>
      <selection pane="bottomLeft" activeCell="L88" sqref="L88"/>
    </sheetView>
  </sheetViews>
  <sheetFormatPr defaultRowHeight="12.75"/>
  <cols>
    <col min="1" max="1" width="7.42578125" style="1457" customWidth="1"/>
    <col min="2" max="2" width="7" style="1457" bestFit="1" customWidth="1"/>
    <col min="3" max="3" width="45.7109375" style="1457" customWidth="1"/>
    <col min="4" max="4" width="9.28515625" style="1457" customWidth="1"/>
    <col min="5" max="5" width="13.28515625" style="1457" customWidth="1"/>
    <col min="6" max="6" width="11.5703125" style="1457" customWidth="1"/>
    <col min="7" max="7" width="12.85546875" style="1457" customWidth="1"/>
    <col min="8" max="8" width="3.28515625" style="1457" customWidth="1"/>
    <col min="9" max="9" width="13.42578125" style="1457" customWidth="1"/>
    <col min="10" max="10" width="13" style="1457" customWidth="1"/>
    <col min="11" max="11" width="13.5703125" style="1457" customWidth="1"/>
    <col min="12" max="12" width="15.28515625" style="1457" customWidth="1"/>
    <col min="13" max="13" width="2.42578125" style="1457" customWidth="1"/>
    <col min="14" max="14" width="6.28515625" style="1457" customWidth="1"/>
    <col min="15" max="15" width="7.5703125" style="1457" customWidth="1"/>
    <col min="16" max="16" width="10.7109375" style="1457" customWidth="1"/>
    <col min="17" max="17" width="11.140625" style="1457" bestFit="1" customWidth="1"/>
    <col min="18" max="18" width="18.5703125" style="1457" customWidth="1"/>
    <col min="19" max="19" width="2.42578125" style="1457" customWidth="1"/>
    <col min="20" max="20" width="19.140625" style="1457" bestFit="1" customWidth="1"/>
    <col min="21" max="21" width="9.140625" style="1457"/>
    <col min="22" max="22" width="16.7109375" style="1457" customWidth="1"/>
    <col min="23" max="16384" width="9.140625" style="1457"/>
  </cols>
  <sheetData>
    <row r="1" spans="1:22" ht="15">
      <c r="H1" s="1456" t="s">
        <v>1464</v>
      </c>
      <c r="U1" s="1457">
        <v>2018</v>
      </c>
    </row>
    <row r="2" spans="1:22" ht="15">
      <c r="H2" s="1455" t="s">
        <v>1463</v>
      </c>
    </row>
    <row r="3" spans="1:22" ht="15">
      <c r="H3" s="1454" t="s">
        <v>1626</v>
      </c>
    </row>
    <row r="4" spans="1:22" ht="15">
      <c r="H4" s="15"/>
    </row>
    <row r="5" spans="1:22" ht="15.75">
      <c r="H5" s="1466" t="s">
        <v>611</v>
      </c>
    </row>
    <row r="7" spans="1:22" ht="18">
      <c r="C7" s="1453"/>
      <c r="E7" s="1453"/>
      <c r="F7" s="1453"/>
      <c r="G7" s="1453"/>
      <c r="H7" s="1392" t="s">
        <v>625</v>
      </c>
      <c r="I7" s="1453"/>
      <c r="J7" s="1453"/>
      <c r="K7" s="1453"/>
      <c r="L7" s="1453"/>
    </row>
    <row r="8" spans="1:22">
      <c r="D8" s="1452"/>
    </row>
    <row r="9" spans="1:22">
      <c r="A9" s="1457" t="s">
        <v>1462</v>
      </c>
    </row>
    <row r="12" spans="1:22" s="1448" customFormat="1" ht="24.75" customHeight="1">
      <c r="A12" s="1451" t="s">
        <v>338</v>
      </c>
      <c r="B12" s="1451" t="s">
        <v>339</v>
      </c>
      <c r="C12" s="1450" t="s">
        <v>60</v>
      </c>
      <c r="D12" s="1451" t="s">
        <v>341</v>
      </c>
      <c r="E12" s="1451" t="s">
        <v>266</v>
      </c>
      <c r="F12" s="1451" t="s">
        <v>267</v>
      </c>
      <c r="G12" s="1451" t="s">
        <v>1461</v>
      </c>
      <c r="H12" s="1451"/>
      <c r="I12" s="1451" t="s">
        <v>273</v>
      </c>
      <c r="J12" s="1451" t="s">
        <v>207</v>
      </c>
      <c r="K12" s="1451" t="s">
        <v>91</v>
      </c>
      <c r="L12" s="1451" t="s">
        <v>1460</v>
      </c>
      <c r="M12" s="1451"/>
      <c r="N12" s="1451" t="s">
        <v>612</v>
      </c>
      <c r="O12" s="1451" t="s">
        <v>613</v>
      </c>
      <c r="P12" s="1451" t="s">
        <v>1459</v>
      </c>
      <c r="Q12" s="1451" t="s">
        <v>614</v>
      </c>
      <c r="R12" s="1451" t="s">
        <v>1458</v>
      </c>
      <c r="S12" s="1451"/>
      <c r="T12" s="1451" t="s">
        <v>1457</v>
      </c>
      <c r="U12" s="1451"/>
    </row>
    <row r="13" spans="1:22" ht="16.5" customHeight="1">
      <c r="A13" s="1447"/>
      <c r="B13" s="1447"/>
      <c r="C13" s="1447"/>
      <c r="D13" s="1447"/>
      <c r="E13" s="1535" t="s">
        <v>1493</v>
      </c>
      <c r="F13" s="1535"/>
      <c r="G13" s="1535"/>
      <c r="H13" s="1447"/>
      <c r="I13" s="1446" t="s">
        <v>1625</v>
      </c>
      <c r="J13" s="1446"/>
      <c r="K13" s="1446"/>
      <c r="L13" s="1446"/>
      <c r="M13" s="1446"/>
      <c r="N13" s="1446"/>
      <c r="O13" s="1446"/>
      <c r="P13" s="1446"/>
      <c r="Q13" s="1446"/>
      <c r="R13" s="1446"/>
      <c r="S13" s="1447"/>
      <c r="T13" s="1447"/>
      <c r="U13" s="1447"/>
    </row>
    <row r="14" spans="1:22" ht="18" customHeight="1">
      <c r="I14" s="1444"/>
      <c r="T14" s="1536" t="s">
        <v>1492</v>
      </c>
    </row>
    <row r="15" spans="1:22" ht="18" customHeight="1" thickBot="1">
      <c r="D15" s="1447"/>
      <c r="E15" s="1443"/>
      <c r="F15" s="1443"/>
      <c r="G15" s="1443"/>
      <c r="I15" s="1446" t="s">
        <v>615</v>
      </c>
      <c r="J15" s="1391"/>
      <c r="K15" s="1446"/>
      <c r="L15" s="1391"/>
      <c r="M15" s="1441"/>
      <c r="N15" s="1446" t="s">
        <v>616</v>
      </c>
      <c r="O15" s="1440"/>
      <c r="P15" s="1440"/>
      <c r="Q15" s="1439"/>
      <c r="T15" s="1536"/>
    </row>
    <row r="16" spans="1:22" ht="76.900000000000006" customHeight="1">
      <c r="A16" s="1438" t="s">
        <v>617</v>
      </c>
      <c r="B16" s="1437" t="s">
        <v>618</v>
      </c>
      <c r="C16" s="1437" t="s">
        <v>619</v>
      </c>
      <c r="D16" s="1436" t="s">
        <v>620</v>
      </c>
      <c r="E16" s="1434" t="s">
        <v>615</v>
      </c>
      <c r="F16" s="1434" t="s">
        <v>621</v>
      </c>
      <c r="G16" s="1436" t="s">
        <v>295</v>
      </c>
      <c r="I16" s="1433" t="s">
        <v>1487</v>
      </c>
      <c r="J16" s="1433" t="s">
        <v>1488</v>
      </c>
      <c r="K16" s="1433" t="s">
        <v>1489</v>
      </c>
      <c r="L16" s="1433" t="s">
        <v>1490</v>
      </c>
      <c r="M16" s="1433"/>
      <c r="N16" s="1432" t="s">
        <v>622</v>
      </c>
      <c r="O16" s="1432" t="s">
        <v>623</v>
      </c>
      <c r="P16" s="1431" t="s">
        <v>624</v>
      </c>
      <c r="Q16" s="1432" t="s">
        <v>1491</v>
      </c>
      <c r="R16" s="1435" t="s">
        <v>626</v>
      </c>
      <c r="T16" s="1536"/>
      <c r="V16" s="1430" t="s">
        <v>1456</v>
      </c>
    </row>
    <row r="17" spans="1:23">
      <c r="B17" s="1447"/>
      <c r="C17" s="1447"/>
      <c r="E17" s="1429"/>
      <c r="F17" s="1429"/>
      <c r="G17" s="1429"/>
      <c r="I17" s="1429"/>
      <c r="J17" s="1429"/>
      <c r="K17" s="1429"/>
      <c r="L17" s="1429"/>
      <c r="M17" s="1429"/>
      <c r="N17" s="1429"/>
      <c r="O17" s="1429"/>
      <c r="P17" s="1429"/>
      <c r="Q17" s="1429"/>
      <c r="R17" s="1429"/>
      <c r="T17" s="1429"/>
      <c r="V17" s="1428"/>
    </row>
    <row r="18" spans="1:23">
      <c r="A18" s="1473" t="s">
        <v>627</v>
      </c>
      <c r="B18" s="1469" t="s">
        <v>628</v>
      </c>
      <c r="C18" s="313" t="s">
        <v>629</v>
      </c>
      <c r="D18" s="1470">
        <v>2009</v>
      </c>
      <c r="E18" s="1514">
        <v>1812678.1565502193</v>
      </c>
      <c r="F18" s="1515">
        <v>0</v>
      </c>
      <c r="G18" s="1515">
        <v>1812678.1565502193</v>
      </c>
      <c r="H18" s="1474"/>
      <c r="I18" s="1514">
        <v>-19038.228973397519</v>
      </c>
      <c r="J18" s="1516">
        <v>2076340.5617635851</v>
      </c>
      <c r="K18" s="1516">
        <v>1987492.1931105764</v>
      </c>
      <c r="L18" s="1514">
        <v>88848.368653008714</v>
      </c>
      <c r="M18" s="1514"/>
      <c r="N18" s="1515">
        <v>0</v>
      </c>
      <c r="O18" s="1515">
        <v>0</v>
      </c>
      <c r="P18" s="1515">
        <v>0</v>
      </c>
      <c r="Q18" s="1514">
        <v>23021.119522663448</v>
      </c>
      <c r="R18" s="1517">
        <v>92831.259202274639</v>
      </c>
      <c r="S18" s="1517"/>
      <c r="T18" s="1518">
        <v>1905509.415752494</v>
      </c>
      <c r="U18"/>
      <c r="V18" s="1477">
        <v>69810.139679611195</v>
      </c>
      <c r="W18" t="s">
        <v>627</v>
      </c>
    </row>
    <row r="19" spans="1:23">
      <c r="A19" s="1473" t="s">
        <v>630</v>
      </c>
      <c r="B19" s="1469" t="s">
        <v>628</v>
      </c>
      <c r="C19" s="313" t="s">
        <v>631</v>
      </c>
      <c r="D19" s="1470">
        <v>2009</v>
      </c>
      <c r="E19" s="1514">
        <v>831468.54509536782</v>
      </c>
      <c r="F19" s="1515">
        <v>0</v>
      </c>
      <c r="G19" s="1515">
        <v>831468.54509536782</v>
      </c>
      <c r="H19" s="1474"/>
      <c r="I19" s="1514">
        <v>2987.8630480803549</v>
      </c>
      <c r="J19" s="1516">
        <v>961730.61711838865</v>
      </c>
      <c r="K19" s="1516">
        <v>920577.3506513295</v>
      </c>
      <c r="L19" s="1514">
        <v>41153.266467059148</v>
      </c>
      <c r="M19" s="1514"/>
      <c r="N19" s="1515">
        <v>0</v>
      </c>
      <c r="O19" s="1515">
        <v>0</v>
      </c>
      <c r="P19" s="1515">
        <v>0</v>
      </c>
      <c r="Q19" s="1514">
        <v>14556.312637348577</v>
      </c>
      <c r="R19" s="1517">
        <v>58697.442152488082</v>
      </c>
      <c r="S19" s="1517"/>
      <c r="T19" s="1519">
        <v>890165.98724785587</v>
      </c>
      <c r="U19"/>
      <c r="V19" s="1477">
        <v>44141.129515139502</v>
      </c>
      <c r="W19" t="s">
        <v>630</v>
      </c>
    </row>
    <row r="20" spans="1:23" ht="25.5">
      <c r="A20" s="1473" t="s">
        <v>632</v>
      </c>
      <c r="B20" s="1469" t="s">
        <v>628</v>
      </c>
      <c r="C20" s="1472" t="s">
        <v>633</v>
      </c>
      <c r="D20" s="1470">
        <v>2009</v>
      </c>
      <c r="E20" s="1514">
        <v>1406880.5322687528</v>
      </c>
      <c r="F20" s="1515">
        <v>0</v>
      </c>
      <c r="G20" s="1515">
        <v>1406880.5322687528</v>
      </c>
      <c r="H20" s="1474"/>
      <c r="I20" s="1514">
        <v>-31219.346176113468</v>
      </c>
      <c r="J20" s="1516">
        <v>1599052.6601881934</v>
      </c>
      <c r="K20" s="1516">
        <v>1530627.8444983715</v>
      </c>
      <c r="L20" s="1514">
        <v>68424.81568982196</v>
      </c>
      <c r="M20" s="1514"/>
      <c r="N20" s="1515">
        <v>0</v>
      </c>
      <c r="O20" s="1515">
        <v>0</v>
      </c>
      <c r="P20" s="1515">
        <v>0</v>
      </c>
      <c r="Q20" s="1514">
        <v>12269.156952024374</v>
      </c>
      <c r="R20" s="1517">
        <v>49474.626465732865</v>
      </c>
      <c r="S20" s="1517"/>
      <c r="T20" s="1519">
        <v>1456355.1587344857</v>
      </c>
      <c r="U20"/>
      <c r="V20" s="1477">
        <v>37205.469513708493</v>
      </c>
      <c r="W20" t="s">
        <v>632</v>
      </c>
    </row>
    <row r="21" spans="1:23">
      <c r="A21" s="1473" t="s">
        <v>634</v>
      </c>
      <c r="B21" s="1469" t="s">
        <v>628</v>
      </c>
      <c r="C21" s="1472" t="s">
        <v>635</v>
      </c>
      <c r="D21" s="1470">
        <v>2009</v>
      </c>
      <c r="E21" s="1514">
        <v>1181021.0370772437</v>
      </c>
      <c r="F21" s="1515">
        <v>0</v>
      </c>
      <c r="G21" s="1515">
        <v>1181021.0370772437</v>
      </c>
      <c r="H21" s="1474"/>
      <c r="I21" s="1514">
        <v>-22741.605415657163</v>
      </c>
      <c r="J21" s="1516">
        <v>1345037.6505633658</v>
      </c>
      <c r="K21" s="1516">
        <v>1287482.3519624816</v>
      </c>
      <c r="L21" s="1514">
        <v>57555.298600884154</v>
      </c>
      <c r="M21" s="1514"/>
      <c r="N21" s="1515">
        <v>0</v>
      </c>
      <c r="O21" s="1515">
        <v>0</v>
      </c>
      <c r="P21" s="1515">
        <v>0</v>
      </c>
      <c r="Q21" s="1514">
        <v>11480.426704783069</v>
      </c>
      <c r="R21" s="1517">
        <v>46294.119890010057</v>
      </c>
      <c r="S21" s="1517"/>
      <c r="T21" s="1519">
        <v>1227315.1569672537</v>
      </c>
      <c r="U21"/>
      <c r="V21" s="1477">
        <v>34813.693185226992</v>
      </c>
      <c r="W21" t="s">
        <v>634</v>
      </c>
    </row>
    <row r="22" spans="1:23" ht="25.5">
      <c r="A22" s="1473" t="s">
        <v>636</v>
      </c>
      <c r="B22" s="1469" t="s">
        <v>628</v>
      </c>
      <c r="C22" s="1472" t="s">
        <v>637</v>
      </c>
      <c r="D22" s="1470">
        <v>2009</v>
      </c>
      <c r="E22" s="1514">
        <v>305899.05743293936</v>
      </c>
      <c r="F22" s="1515">
        <v>0</v>
      </c>
      <c r="G22" s="1515">
        <v>305899.05743293936</v>
      </c>
      <c r="H22" s="1474"/>
      <c r="I22" s="1514">
        <v>-3252.5592057253234</v>
      </c>
      <c r="J22" s="1516">
        <v>350359.1486859697</v>
      </c>
      <c r="K22" s="1516">
        <v>335366.98440586461</v>
      </c>
      <c r="L22" s="1514">
        <v>14992.164280105091</v>
      </c>
      <c r="M22" s="1514"/>
      <c r="N22" s="1515">
        <v>0</v>
      </c>
      <c r="O22" s="1515">
        <v>0</v>
      </c>
      <c r="P22" s="1515">
        <v>0</v>
      </c>
      <c r="Q22" s="1514">
        <v>3871.3409370973509</v>
      </c>
      <c r="R22" s="1517">
        <v>15610.946011477119</v>
      </c>
      <c r="S22" s="1517"/>
      <c r="T22" s="1519">
        <v>321510.00344441645</v>
      </c>
      <c r="U22"/>
      <c r="V22" s="1477">
        <v>11739.605074379768</v>
      </c>
      <c r="W22" t="s">
        <v>636</v>
      </c>
    </row>
    <row r="23" spans="1:23" s="1390" customFormat="1">
      <c r="A23" s="1473" t="s">
        <v>638</v>
      </c>
      <c r="B23" s="1469" t="s">
        <v>628</v>
      </c>
      <c r="C23" s="1472" t="s">
        <v>639</v>
      </c>
      <c r="D23" s="1470">
        <v>2009</v>
      </c>
      <c r="E23" s="1514">
        <v>3898144.0559925353</v>
      </c>
      <c r="F23" s="1515">
        <v>0</v>
      </c>
      <c r="G23" s="1515">
        <v>3898144.0559925353</v>
      </c>
      <c r="H23" s="1474"/>
      <c r="I23" s="1514">
        <v>-8206.0598555626348</v>
      </c>
      <c r="J23" s="1516">
        <v>4488582.4971282743</v>
      </c>
      <c r="K23" s="1516">
        <v>4296512.2559653493</v>
      </c>
      <c r="L23" s="1514">
        <v>192070.24116292503</v>
      </c>
      <c r="M23" s="1514"/>
      <c r="N23" s="1515">
        <v>0</v>
      </c>
      <c r="O23" s="1515">
        <v>0</v>
      </c>
      <c r="P23" s="1515">
        <v>0</v>
      </c>
      <c r="Q23" s="1514">
        <v>60632.442697284496</v>
      </c>
      <c r="R23" s="1517">
        <v>244496.6240046469</v>
      </c>
      <c r="S23" s="1517"/>
      <c r="T23" s="1519">
        <v>4142640.6799971825</v>
      </c>
      <c r="U23" s="1468"/>
      <c r="V23" s="1477">
        <v>183864.18130736239</v>
      </c>
      <c r="W23" s="1468" t="s">
        <v>638</v>
      </c>
    </row>
    <row r="24" spans="1:23">
      <c r="A24" s="1473" t="s">
        <v>640</v>
      </c>
      <c r="B24" s="1469" t="s">
        <v>628</v>
      </c>
      <c r="C24" s="1472" t="s">
        <v>641</v>
      </c>
      <c r="D24" s="1470">
        <v>2009</v>
      </c>
      <c r="E24" s="1514">
        <v>7857.6149897939886</v>
      </c>
      <c r="F24" s="1515">
        <v>0</v>
      </c>
      <c r="G24" s="1515">
        <v>7857.6149897939886</v>
      </c>
      <c r="H24" s="1474"/>
      <c r="I24" s="1514">
        <v>-62.784722395233985</v>
      </c>
      <c r="J24" s="1516">
        <v>9017.1343033914254</v>
      </c>
      <c r="K24" s="1516">
        <v>8631.2835005246106</v>
      </c>
      <c r="L24" s="1514">
        <v>385.85080286681477</v>
      </c>
      <c r="M24" s="1514"/>
      <c r="N24" s="1515">
        <v>0</v>
      </c>
      <c r="O24" s="1515">
        <v>0</v>
      </c>
      <c r="P24" s="1515">
        <v>0</v>
      </c>
      <c r="Q24" s="1514">
        <v>106.53671352596972</v>
      </c>
      <c r="R24" s="1517">
        <v>429.60279399755052</v>
      </c>
      <c r="S24" s="1528" t="s">
        <v>101</v>
      </c>
      <c r="T24" s="1519">
        <v>8287.2177837915387</v>
      </c>
      <c r="U24"/>
      <c r="V24" s="1477">
        <v>323.06608047158079</v>
      </c>
      <c r="W24" t="s">
        <v>640</v>
      </c>
    </row>
    <row r="25" spans="1:23" ht="25.5">
      <c r="A25" s="1473" t="s">
        <v>642</v>
      </c>
      <c r="B25" s="1469" t="s">
        <v>628</v>
      </c>
      <c r="C25" s="1472" t="s">
        <v>643</v>
      </c>
      <c r="D25" s="1470">
        <v>2008</v>
      </c>
      <c r="E25" s="1514">
        <v>958310.88101504452</v>
      </c>
      <c r="F25" s="1515">
        <v>0</v>
      </c>
      <c r="G25" s="1515">
        <v>958310.88101504452</v>
      </c>
      <c r="H25" s="1474"/>
      <c r="I25" s="1514">
        <v>-908.68013828387484</v>
      </c>
      <c r="J25" s="1516">
        <v>1105095.6227066119</v>
      </c>
      <c r="K25" s="1516">
        <v>1057807.6464029236</v>
      </c>
      <c r="L25" s="1514">
        <v>47287.97630368825</v>
      </c>
      <c r="M25" s="1514"/>
      <c r="N25" s="1515">
        <v>0</v>
      </c>
      <c r="O25" s="1515">
        <v>0</v>
      </c>
      <c r="P25" s="1515">
        <v>0</v>
      </c>
      <c r="Q25" s="1514">
        <v>15294.387395597993</v>
      </c>
      <c r="R25" s="1517">
        <v>61673.68356100237</v>
      </c>
      <c r="S25" s="1517"/>
      <c r="T25" s="1519">
        <v>1019984.5645760469</v>
      </c>
      <c r="U25"/>
      <c r="V25" s="1477">
        <v>46379.296165404376</v>
      </c>
      <c r="W25" t="s">
        <v>642</v>
      </c>
    </row>
    <row r="26" spans="1:23" ht="25.5">
      <c r="A26" s="1473" t="s">
        <v>644</v>
      </c>
      <c r="B26" s="1469" t="s">
        <v>628</v>
      </c>
      <c r="C26" s="1472" t="s">
        <v>645</v>
      </c>
      <c r="D26" s="1470">
        <v>2008</v>
      </c>
      <c r="E26" s="1514">
        <v>283657.48980303045</v>
      </c>
      <c r="F26" s="1515">
        <v>0</v>
      </c>
      <c r="G26" s="1515">
        <v>283657.48980303045</v>
      </c>
      <c r="H26" s="1474"/>
      <c r="I26" s="1514">
        <v>-6283.5787712520687</v>
      </c>
      <c r="J26" s="1516">
        <v>322480.3917039262</v>
      </c>
      <c r="K26" s="1516">
        <v>308681.18301287171</v>
      </c>
      <c r="L26" s="1514">
        <v>13799.208691054489</v>
      </c>
      <c r="M26" s="1514"/>
      <c r="N26" s="1515">
        <v>0</v>
      </c>
      <c r="O26" s="1515">
        <v>0</v>
      </c>
      <c r="P26" s="1515">
        <v>0</v>
      </c>
      <c r="Q26" s="1514">
        <v>2478.4109509869509</v>
      </c>
      <c r="R26" s="1517">
        <v>9994.0408707893712</v>
      </c>
      <c r="S26" s="1517"/>
      <c r="T26" s="1519">
        <v>293651.53067381983</v>
      </c>
      <c r="U26"/>
      <c r="V26" s="1477">
        <v>7515.6299198024208</v>
      </c>
      <c r="W26" t="s">
        <v>644</v>
      </c>
    </row>
    <row r="27" spans="1:23">
      <c r="A27" s="1473" t="s">
        <v>646</v>
      </c>
      <c r="B27" s="1469" t="s">
        <v>628</v>
      </c>
      <c r="C27" s="1529" t="s">
        <v>647</v>
      </c>
      <c r="D27" s="1470">
        <v>2008</v>
      </c>
      <c r="E27" s="1514">
        <v>0</v>
      </c>
      <c r="F27" s="1515">
        <v>0</v>
      </c>
      <c r="G27" s="1515">
        <v>0</v>
      </c>
      <c r="H27" s="1474"/>
      <c r="I27" s="1514">
        <v>0</v>
      </c>
      <c r="J27" s="1516">
        <v>0</v>
      </c>
      <c r="K27" s="1516">
        <v>0</v>
      </c>
      <c r="L27" s="1514">
        <v>0</v>
      </c>
      <c r="M27" s="1514"/>
      <c r="N27" s="1515">
        <v>0</v>
      </c>
      <c r="O27" s="1515">
        <v>0</v>
      </c>
      <c r="P27" s="1515">
        <v>0</v>
      </c>
      <c r="Q27" s="1514">
        <v>0</v>
      </c>
      <c r="R27" s="1517">
        <v>0</v>
      </c>
      <c r="S27" s="1517"/>
      <c r="T27" s="1519">
        <v>0</v>
      </c>
      <c r="U27"/>
      <c r="V27" s="1477">
        <v>0</v>
      </c>
      <c r="W27" t="s">
        <v>646</v>
      </c>
    </row>
    <row r="28" spans="1:23" ht="16.5" customHeight="1">
      <c r="A28" s="1473" t="s">
        <v>648</v>
      </c>
      <c r="B28" s="1469" t="s">
        <v>628</v>
      </c>
      <c r="C28" s="1529" t="s">
        <v>649</v>
      </c>
      <c r="D28" s="1470">
        <v>2007</v>
      </c>
      <c r="E28" s="1514">
        <v>0</v>
      </c>
      <c r="F28" s="1515">
        <v>0</v>
      </c>
      <c r="G28" s="1515">
        <v>0</v>
      </c>
      <c r="H28" s="1474"/>
      <c r="I28" s="1514">
        <v>0</v>
      </c>
      <c r="J28" s="1516">
        <v>0</v>
      </c>
      <c r="K28" s="1516">
        <v>0</v>
      </c>
      <c r="L28" s="1514">
        <v>0</v>
      </c>
      <c r="M28" s="1514"/>
      <c r="N28" s="1515">
        <v>0</v>
      </c>
      <c r="O28" s="1515">
        <v>0</v>
      </c>
      <c r="P28" s="1515">
        <v>0</v>
      </c>
      <c r="Q28" s="1514">
        <v>0</v>
      </c>
      <c r="R28" s="1517">
        <v>0</v>
      </c>
      <c r="S28" s="1517"/>
      <c r="T28" s="1519">
        <v>0</v>
      </c>
      <c r="U28"/>
      <c r="V28" s="1477">
        <v>0</v>
      </c>
      <c r="W28" t="s">
        <v>648</v>
      </c>
    </row>
    <row r="29" spans="1:23" ht="25.5">
      <c r="A29" s="1473" t="s">
        <v>650</v>
      </c>
      <c r="B29" s="1469" t="s">
        <v>628</v>
      </c>
      <c r="C29" s="1472" t="s">
        <v>651</v>
      </c>
      <c r="D29" s="1470">
        <v>2007</v>
      </c>
      <c r="E29" s="1514">
        <v>18528.558657845613</v>
      </c>
      <c r="F29" s="1515">
        <v>0</v>
      </c>
      <c r="G29" s="1515">
        <v>18528.558657845613</v>
      </c>
      <c r="H29" s="1474"/>
      <c r="I29" s="1514">
        <v>-538.76904257621209</v>
      </c>
      <c r="J29" s="1516">
        <v>20968.291412160968</v>
      </c>
      <c r="K29" s="1516">
        <v>20071.040489205912</v>
      </c>
      <c r="L29" s="1514">
        <v>897.25092295505601</v>
      </c>
      <c r="M29" s="1514"/>
      <c r="N29" s="1515">
        <v>0</v>
      </c>
      <c r="O29" s="1515">
        <v>0</v>
      </c>
      <c r="P29" s="1515">
        <v>0</v>
      </c>
      <c r="Q29" s="1514">
        <v>118.21569549617709</v>
      </c>
      <c r="R29" s="1517">
        <v>476.69757587502102</v>
      </c>
      <c r="S29" s="1517"/>
      <c r="T29" s="1519">
        <v>19005.256233720633</v>
      </c>
      <c r="U29"/>
      <c r="V29" s="1477">
        <v>358.48188037884393</v>
      </c>
      <c r="W29" t="s">
        <v>650</v>
      </c>
    </row>
    <row r="30" spans="1:23">
      <c r="A30" s="1473" t="s">
        <v>652</v>
      </c>
      <c r="B30" s="1469" t="s">
        <v>628</v>
      </c>
      <c r="C30" s="1472" t="s">
        <v>653</v>
      </c>
      <c r="D30" s="1470">
        <v>2006</v>
      </c>
      <c r="E30" s="1514">
        <v>566453.99932212732</v>
      </c>
      <c r="F30" s="1515">
        <v>0</v>
      </c>
      <c r="G30" s="1515">
        <v>566453.99932212732</v>
      </c>
      <c r="H30" s="1474"/>
      <c r="I30" s="1514">
        <v>0</v>
      </c>
      <c r="J30" s="1516">
        <v>653249.57779006497</v>
      </c>
      <c r="K30" s="1516">
        <v>625296.47588629241</v>
      </c>
      <c r="L30" s="1514">
        <v>27953.101903772564</v>
      </c>
      <c r="M30" s="1514"/>
      <c r="N30" s="1515">
        <v>0</v>
      </c>
      <c r="O30" s="1515">
        <v>0</v>
      </c>
      <c r="P30" s="1515">
        <v>0</v>
      </c>
      <c r="Q30" s="1514">
        <v>9218.0262481824539</v>
      </c>
      <c r="R30" s="1517">
        <v>37171.128151955018</v>
      </c>
      <c r="S30" s="1517"/>
      <c r="T30" s="1519">
        <v>603625.12747408228</v>
      </c>
      <c r="U30"/>
      <c r="V30" s="1477">
        <v>27953.101903772564</v>
      </c>
      <c r="W30" t="s">
        <v>652</v>
      </c>
    </row>
    <row r="31" spans="1:23">
      <c r="A31" s="1473" t="s">
        <v>654</v>
      </c>
      <c r="B31" s="1469" t="s">
        <v>628</v>
      </c>
      <c r="C31" s="1529" t="s">
        <v>655</v>
      </c>
      <c r="D31" s="1470">
        <v>2007</v>
      </c>
      <c r="E31" s="1514">
        <v>8088.1134432390199</v>
      </c>
      <c r="F31" s="1515">
        <v>0</v>
      </c>
      <c r="G31" s="1515">
        <v>8088.1134432390199</v>
      </c>
      <c r="H31" s="1474"/>
      <c r="I31" s="1514">
        <v>-87.755508734844625</v>
      </c>
      <c r="J31" s="1516">
        <v>9266.3624917324742</v>
      </c>
      <c r="K31" s="1516">
        <v>8869.8470039077947</v>
      </c>
      <c r="L31" s="1514">
        <v>396.51548782467944</v>
      </c>
      <c r="M31" s="1514"/>
      <c r="N31" s="1515">
        <v>0</v>
      </c>
      <c r="O31" s="1515">
        <v>0</v>
      </c>
      <c r="P31" s="1515">
        <v>0</v>
      </c>
      <c r="Q31" s="1514">
        <v>101.81902536026759</v>
      </c>
      <c r="R31" s="1517">
        <v>410.57900445010239</v>
      </c>
      <c r="S31" s="1528" t="s">
        <v>101</v>
      </c>
      <c r="T31" s="1519">
        <v>8498.6924476891218</v>
      </c>
      <c r="U31"/>
      <c r="V31" s="1477">
        <v>308.75997908983481</v>
      </c>
      <c r="W31" t="s">
        <v>654</v>
      </c>
    </row>
    <row r="32" spans="1:23">
      <c r="A32" s="1473" t="s">
        <v>656</v>
      </c>
      <c r="B32" s="1469" t="s">
        <v>628</v>
      </c>
      <c r="C32" s="1472" t="s">
        <v>657</v>
      </c>
      <c r="D32" s="1470">
        <v>2007</v>
      </c>
      <c r="E32" s="1514">
        <v>35754.592465588619</v>
      </c>
      <c r="F32" s="1515">
        <v>0</v>
      </c>
      <c r="G32" s="1515">
        <v>35754.592465588619</v>
      </c>
      <c r="H32" s="1474"/>
      <c r="I32" s="1514">
        <v>-713.56287193088792</v>
      </c>
      <c r="J32" s="1516">
        <v>40730.735374660915</v>
      </c>
      <c r="K32" s="1516">
        <v>38987.832760938312</v>
      </c>
      <c r="L32" s="1514">
        <v>1742.9026137226028</v>
      </c>
      <c r="M32" s="1514"/>
      <c r="N32" s="1515">
        <v>0</v>
      </c>
      <c r="O32" s="1515">
        <v>0</v>
      </c>
      <c r="P32" s="1515">
        <v>0</v>
      </c>
      <c r="Q32" s="1514">
        <v>339.44285649575107</v>
      </c>
      <c r="R32" s="1517">
        <v>1368.782598287466</v>
      </c>
      <c r="S32" s="1517"/>
      <c r="T32" s="1519">
        <v>37123.375063876083</v>
      </c>
      <c r="U32"/>
      <c r="V32" s="1477">
        <v>1029.3397417917149</v>
      </c>
      <c r="W32" t="s">
        <v>656</v>
      </c>
    </row>
    <row r="33" spans="1:23">
      <c r="A33" s="1473" t="s">
        <v>658</v>
      </c>
      <c r="B33" s="1469" t="s">
        <v>628</v>
      </c>
      <c r="C33" s="1472" t="s">
        <v>659</v>
      </c>
      <c r="D33" s="1470">
        <v>2008</v>
      </c>
      <c r="E33" s="1514">
        <v>39311.635626579766</v>
      </c>
      <c r="F33" s="1515">
        <v>0</v>
      </c>
      <c r="G33" s="1515">
        <v>39311.635626579766</v>
      </c>
      <c r="H33" s="1474"/>
      <c r="I33" s="1514">
        <v>240.9286405370658</v>
      </c>
      <c r="J33" s="1516">
        <v>45535.218578822482</v>
      </c>
      <c r="K33" s="1516">
        <v>43586.728065517564</v>
      </c>
      <c r="L33" s="1514">
        <v>1948.4905133049178</v>
      </c>
      <c r="M33" s="1514"/>
      <c r="N33" s="1515">
        <v>0</v>
      </c>
      <c r="O33" s="1515">
        <v>0</v>
      </c>
      <c r="P33" s="1515">
        <v>0</v>
      </c>
      <c r="Q33" s="1514">
        <v>721.99941523001542</v>
      </c>
      <c r="R33" s="1517">
        <v>2911.4185690719992</v>
      </c>
      <c r="S33" s="1517"/>
      <c r="T33" s="1519">
        <v>42223.054195651763</v>
      </c>
      <c r="U33"/>
      <c r="V33" s="1477">
        <v>2189.4191538419836</v>
      </c>
      <c r="W33" t="s">
        <v>658</v>
      </c>
    </row>
    <row r="34" spans="1:23">
      <c r="A34" s="1473" t="s">
        <v>660</v>
      </c>
      <c r="B34" s="1469" t="s">
        <v>628</v>
      </c>
      <c r="C34" s="1472" t="s">
        <v>661</v>
      </c>
      <c r="D34" s="1470">
        <v>2008</v>
      </c>
      <c r="E34" s="1514">
        <v>194603.42641345403</v>
      </c>
      <c r="F34" s="1515">
        <v>0</v>
      </c>
      <c r="G34" s="1515">
        <v>194603.42641345403</v>
      </c>
      <c r="H34" s="1474"/>
      <c r="I34" s="1514">
        <v>-3961.6381254137668</v>
      </c>
      <c r="J34" s="1516">
        <v>221523.80300678819</v>
      </c>
      <c r="K34" s="1516">
        <v>212044.61212769357</v>
      </c>
      <c r="L34" s="1514">
        <v>9479.1908790946181</v>
      </c>
      <c r="M34" s="1514"/>
      <c r="N34" s="1515">
        <v>0</v>
      </c>
      <c r="O34" s="1515">
        <v>0</v>
      </c>
      <c r="P34" s="1515">
        <v>0</v>
      </c>
      <c r="Q34" s="1514">
        <v>1819.5099164396222</v>
      </c>
      <c r="R34" s="1517">
        <v>7337.0626701204737</v>
      </c>
      <c r="S34" s="1517"/>
      <c r="T34" s="1519">
        <v>201940.4890835745</v>
      </c>
      <c r="U34"/>
      <c r="V34" s="1477">
        <v>5517.5527536808513</v>
      </c>
      <c r="W34" t="s">
        <v>660</v>
      </c>
    </row>
    <row r="35" spans="1:23">
      <c r="A35" s="1473" t="s">
        <v>662</v>
      </c>
      <c r="B35" s="1469" t="s">
        <v>628</v>
      </c>
      <c r="C35" s="1472" t="s">
        <v>663</v>
      </c>
      <c r="D35" s="1470">
        <v>2009</v>
      </c>
      <c r="E35" s="1514">
        <v>0</v>
      </c>
      <c r="F35" s="1515">
        <v>0</v>
      </c>
      <c r="G35" s="1515">
        <v>0</v>
      </c>
      <c r="H35" s="1474"/>
      <c r="I35" s="1514">
        <v>0</v>
      </c>
      <c r="J35" s="1516">
        <v>0</v>
      </c>
      <c r="K35" s="1516">
        <v>0</v>
      </c>
      <c r="L35" s="1514">
        <v>0</v>
      </c>
      <c r="M35" s="1514"/>
      <c r="N35" s="1515">
        <v>0</v>
      </c>
      <c r="O35" s="1515">
        <v>0</v>
      </c>
      <c r="P35" s="1515">
        <v>0</v>
      </c>
      <c r="Q35" s="1514">
        <v>0</v>
      </c>
      <c r="R35" s="1517">
        <v>0</v>
      </c>
      <c r="S35" s="1517"/>
      <c r="T35" s="1519">
        <v>0</v>
      </c>
      <c r="U35"/>
      <c r="V35" s="1477">
        <v>0</v>
      </c>
      <c r="W35" t="s">
        <v>662</v>
      </c>
    </row>
    <row r="36" spans="1:23">
      <c r="A36" s="1473" t="s">
        <v>664</v>
      </c>
      <c r="B36" s="1469" t="s">
        <v>628</v>
      </c>
      <c r="C36" s="1472" t="s">
        <v>665</v>
      </c>
      <c r="D36" s="1470">
        <v>2008</v>
      </c>
      <c r="E36" s="1514">
        <v>447225.55720151827</v>
      </c>
      <c r="F36" s="1515">
        <v>0</v>
      </c>
      <c r="G36" s="1515">
        <v>447225.55720151827</v>
      </c>
      <c r="H36" s="1474"/>
      <c r="I36" s="1514">
        <v>-9682.4289574066643</v>
      </c>
      <c r="J36" s="1516">
        <v>508897.24510867806</v>
      </c>
      <c r="K36" s="1516">
        <v>487121.10160285921</v>
      </c>
      <c r="L36" s="1514">
        <v>21776.143505818851</v>
      </c>
      <c r="M36" s="1514"/>
      <c r="N36" s="1515">
        <v>0</v>
      </c>
      <c r="O36" s="1515">
        <v>0</v>
      </c>
      <c r="P36" s="1515">
        <v>0</v>
      </c>
      <c r="Q36" s="1514">
        <v>3988.1147548152471</v>
      </c>
      <c r="R36" s="1517">
        <v>16081.829303227434</v>
      </c>
      <c r="S36" s="1517"/>
      <c r="T36" s="1519">
        <v>463307.38650474569</v>
      </c>
      <c r="U36"/>
      <c r="V36" s="1477">
        <v>12093.714548412187</v>
      </c>
      <c r="W36" t="s">
        <v>664</v>
      </c>
    </row>
    <row r="37" spans="1:23" ht="25.5">
      <c r="A37" s="1473" t="s">
        <v>666</v>
      </c>
      <c r="B37" s="1469" t="s">
        <v>628</v>
      </c>
      <c r="C37" s="1472" t="s">
        <v>667</v>
      </c>
      <c r="D37" s="1470">
        <v>2008</v>
      </c>
      <c r="E37" s="1514">
        <v>0</v>
      </c>
      <c r="F37" s="1515">
        <v>0</v>
      </c>
      <c r="G37" s="1515">
        <v>0</v>
      </c>
      <c r="H37" s="1474"/>
      <c r="I37" s="1514">
        <v>0</v>
      </c>
      <c r="J37" s="1516">
        <v>0</v>
      </c>
      <c r="K37" s="1516">
        <v>0</v>
      </c>
      <c r="L37" s="1514">
        <v>0</v>
      </c>
      <c r="M37" s="1514"/>
      <c r="N37" s="1515">
        <v>0</v>
      </c>
      <c r="O37" s="1515">
        <v>0</v>
      </c>
      <c r="P37" s="1515">
        <v>0</v>
      </c>
      <c r="Q37" s="1514">
        <v>0</v>
      </c>
      <c r="R37" s="1517">
        <v>0</v>
      </c>
      <c r="S37" s="1517"/>
      <c r="T37" s="1519">
        <v>0</v>
      </c>
      <c r="U37"/>
      <c r="V37" s="1477">
        <v>0</v>
      </c>
      <c r="W37" t="s">
        <v>666</v>
      </c>
    </row>
    <row r="38" spans="1:23">
      <c r="A38" s="1473" t="s">
        <v>668</v>
      </c>
      <c r="B38" s="1469" t="s">
        <v>628</v>
      </c>
      <c r="C38" s="1472" t="s">
        <v>669</v>
      </c>
      <c r="D38" s="1470">
        <v>2010</v>
      </c>
      <c r="E38" s="1514">
        <v>169856.93060210368</v>
      </c>
      <c r="F38" s="1515">
        <v>0</v>
      </c>
      <c r="G38" s="1515">
        <v>169856.93060210368</v>
      </c>
      <c r="H38" s="1474"/>
      <c r="I38" s="1514">
        <v>-870.4916372228181</v>
      </c>
      <c r="J38" s="1516">
        <v>195237.68685395559</v>
      </c>
      <c r="K38" s="1516">
        <v>186883.30111589187</v>
      </c>
      <c r="L38" s="1514">
        <v>8354.3857380637201</v>
      </c>
      <c r="M38" s="1514"/>
      <c r="N38" s="1515">
        <v>0</v>
      </c>
      <c r="O38" s="1515">
        <v>0</v>
      </c>
      <c r="P38" s="1515">
        <v>0</v>
      </c>
      <c r="Q38" s="1514">
        <v>2467.9455073591948</v>
      </c>
      <c r="R38" s="1517">
        <v>9951.8396082000963</v>
      </c>
      <c r="S38" s="1517"/>
      <c r="T38" s="1519">
        <v>179808.77021030377</v>
      </c>
      <c r="U38"/>
      <c r="V38" s="1477">
        <v>7483.894100840902</v>
      </c>
      <c r="W38" t="s">
        <v>668</v>
      </c>
    </row>
    <row r="39" spans="1:23">
      <c r="A39" s="1473" t="s">
        <v>670</v>
      </c>
      <c r="B39" s="1469" t="s">
        <v>628</v>
      </c>
      <c r="C39" s="1472" t="s">
        <v>671</v>
      </c>
      <c r="D39" s="1470">
        <v>2010</v>
      </c>
      <c r="E39" s="1514">
        <v>21401.049105881586</v>
      </c>
      <c r="F39" s="1515">
        <v>0</v>
      </c>
      <c r="G39" s="1515">
        <v>21401.049105881586</v>
      </c>
      <c r="H39" s="1474"/>
      <c r="I39" s="1514">
        <v>-270.34845347411101</v>
      </c>
      <c r="J39" s="1516">
        <v>24475.478133559438</v>
      </c>
      <c r="K39" s="1516">
        <v>23428.151724676834</v>
      </c>
      <c r="L39" s="1514">
        <v>1047.3264088826036</v>
      </c>
      <c r="M39" s="1514"/>
      <c r="N39" s="1515">
        <v>0</v>
      </c>
      <c r="O39" s="1515">
        <v>0</v>
      </c>
      <c r="P39" s="1515">
        <v>0</v>
      </c>
      <c r="Q39" s="1514">
        <v>256.22212561132636</v>
      </c>
      <c r="R39" s="1517">
        <v>1033.200081019819</v>
      </c>
      <c r="S39" s="1517"/>
      <c r="T39" s="1519">
        <v>22434.249186901405</v>
      </c>
      <c r="U39"/>
      <c r="V39" s="1477">
        <v>776.97795540849256</v>
      </c>
      <c r="W39" t="s">
        <v>670</v>
      </c>
    </row>
    <row r="40" spans="1:23" ht="25.5">
      <c r="A40" s="1473" t="s">
        <v>672</v>
      </c>
      <c r="B40" s="1469" t="s">
        <v>628</v>
      </c>
      <c r="C40" s="1472" t="s">
        <v>673</v>
      </c>
      <c r="D40" s="1470">
        <v>2010</v>
      </c>
      <c r="E40" s="1514">
        <v>498352.28558861476</v>
      </c>
      <c r="F40" s="1515">
        <v>0</v>
      </c>
      <c r="G40" s="1515">
        <v>498352.28558861476</v>
      </c>
      <c r="H40" s="1474"/>
      <c r="I40" s="1514">
        <v>-5869.5015784915304</v>
      </c>
      <c r="J40" s="1516">
        <v>570269.63654313481</v>
      </c>
      <c r="K40" s="1516">
        <v>545867.31650361</v>
      </c>
      <c r="L40" s="1514">
        <v>24402.320039524813</v>
      </c>
      <c r="M40" s="1514"/>
      <c r="N40" s="1515">
        <v>0</v>
      </c>
      <c r="O40" s="1515">
        <v>0</v>
      </c>
      <c r="P40" s="1515">
        <v>0</v>
      </c>
      <c r="Q40" s="1514">
        <v>6111.522349637663</v>
      </c>
      <c r="R40" s="1517">
        <v>24644.340810670947</v>
      </c>
      <c r="S40" s="1517"/>
      <c r="T40" s="1519">
        <v>522996.62639928568</v>
      </c>
      <c r="U40"/>
      <c r="V40" s="1477">
        <v>18532.818461033283</v>
      </c>
      <c r="W40" t="s">
        <v>672</v>
      </c>
    </row>
    <row r="41" spans="1:23" ht="25.5">
      <c r="A41" s="1473" t="s">
        <v>674</v>
      </c>
      <c r="B41" s="1469" t="s">
        <v>628</v>
      </c>
      <c r="C41" s="1472" t="s">
        <v>675</v>
      </c>
      <c r="D41" s="1470">
        <v>2010</v>
      </c>
      <c r="E41" s="1514">
        <v>545466.27840810106</v>
      </c>
      <c r="F41" s="1515">
        <v>0</v>
      </c>
      <c r="G41" s="1515">
        <v>545466.27840810106</v>
      </c>
      <c r="H41" s="1474"/>
      <c r="I41" s="1514">
        <v>-6143.1519322042586</v>
      </c>
      <c r="J41" s="1516">
        <v>624399.64150630462</v>
      </c>
      <c r="K41" s="1516">
        <v>597681.05277525459</v>
      </c>
      <c r="L41" s="1514">
        <v>26718.588731050026</v>
      </c>
      <c r="M41" s="1514"/>
      <c r="N41" s="1515">
        <v>0</v>
      </c>
      <c r="O41" s="1515">
        <v>0</v>
      </c>
      <c r="P41" s="1515">
        <v>0</v>
      </c>
      <c r="Q41" s="1514">
        <v>6785.1116177551003</v>
      </c>
      <c r="R41" s="1517">
        <v>27360.548416600868</v>
      </c>
      <c r="S41" s="1517"/>
      <c r="T41" s="1519">
        <v>572826.82682470197</v>
      </c>
      <c r="U41"/>
      <c r="V41" s="1477">
        <v>20575.436798845767</v>
      </c>
      <c r="W41" t="s">
        <v>674</v>
      </c>
    </row>
    <row r="42" spans="1:23">
      <c r="A42" s="1473" t="s">
        <v>676</v>
      </c>
      <c r="B42" s="1469" t="s">
        <v>628</v>
      </c>
      <c r="C42" s="1472" t="s">
        <v>677</v>
      </c>
      <c r="D42" s="1470">
        <v>2010</v>
      </c>
      <c r="E42" s="1514">
        <v>9354.6133932424855</v>
      </c>
      <c r="F42" s="1515">
        <v>0</v>
      </c>
      <c r="G42" s="1515">
        <v>9354.6133932424855</v>
      </c>
      <c r="H42" s="1474"/>
      <c r="I42" s="1514">
        <v>-123.29218993531322</v>
      </c>
      <c r="J42" s="1516">
        <v>10692.997924815445</v>
      </c>
      <c r="K42" s="1516">
        <v>10235.435500266503</v>
      </c>
      <c r="L42" s="1514">
        <v>457.56242454894164</v>
      </c>
      <c r="M42" s="1514"/>
      <c r="N42" s="1515">
        <v>0</v>
      </c>
      <c r="O42" s="1515">
        <v>0</v>
      </c>
      <c r="P42" s="1515">
        <v>0</v>
      </c>
      <c r="Q42" s="1514">
        <v>110.23148011486619</v>
      </c>
      <c r="R42" s="1517">
        <v>444.50171472849462</v>
      </c>
      <c r="S42" s="1528" t="s">
        <v>101</v>
      </c>
      <c r="T42" s="1519">
        <v>9799.1151079709798</v>
      </c>
      <c r="U42"/>
      <c r="V42" s="1477">
        <v>334.27023461362842</v>
      </c>
      <c r="W42" t="s">
        <v>676</v>
      </c>
    </row>
    <row r="43" spans="1:23">
      <c r="A43" s="1473" t="s">
        <v>678</v>
      </c>
      <c r="B43" s="1469" t="s">
        <v>628</v>
      </c>
      <c r="C43" s="1472" t="s">
        <v>679</v>
      </c>
      <c r="D43" s="1470">
        <v>2011</v>
      </c>
      <c r="E43" s="1514">
        <v>26858.556831346919</v>
      </c>
      <c r="F43" s="1515">
        <v>0</v>
      </c>
      <c r="G43" s="1515">
        <v>26858.556831346919</v>
      </c>
      <c r="H43" s="1474"/>
      <c r="I43" s="1514">
        <v>-738.31677578121526</v>
      </c>
      <c r="J43" s="1516">
        <v>30400.863029243697</v>
      </c>
      <c r="K43" s="1516">
        <v>29099.984389422851</v>
      </c>
      <c r="L43" s="1514">
        <v>1300.8786398208467</v>
      </c>
      <c r="M43" s="1514"/>
      <c r="N43" s="1515">
        <v>0</v>
      </c>
      <c r="O43" s="1515">
        <v>0</v>
      </c>
      <c r="P43" s="1515">
        <v>0</v>
      </c>
      <c r="Q43" s="1514">
        <v>185.51465403715733</v>
      </c>
      <c r="R43" s="1517">
        <v>748.07651807678883</v>
      </c>
      <c r="S43" s="1528" t="s">
        <v>101</v>
      </c>
      <c r="T43" s="1519">
        <v>27606.633349423708</v>
      </c>
      <c r="U43"/>
      <c r="V43" s="1477">
        <v>562.56186403963147</v>
      </c>
      <c r="W43" t="s">
        <v>678</v>
      </c>
    </row>
    <row r="44" spans="1:23">
      <c r="A44" s="1473" t="s">
        <v>680</v>
      </c>
      <c r="B44" s="1469" t="s">
        <v>628</v>
      </c>
      <c r="C44" s="1472" t="s">
        <v>681</v>
      </c>
      <c r="D44" s="1470">
        <v>2012</v>
      </c>
      <c r="E44" s="1514">
        <v>45881.052041522729</v>
      </c>
      <c r="F44" s="1515">
        <v>0</v>
      </c>
      <c r="G44" s="1515">
        <v>45881.052041522729</v>
      </c>
      <c r="H44" s="1474"/>
      <c r="I44" s="1514">
        <v>-596.16585808198579</v>
      </c>
      <c r="J44" s="1516">
        <v>52437.064330018016</v>
      </c>
      <c r="K44" s="1516">
        <v>50193.237999949219</v>
      </c>
      <c r="L44" s="1514">
        <v>2243.8263300687977</v>
      </c>
      <c r="M44" s="1514"/>
      <c r="N44" s="1515">
        <v>0</v>
      </c>
      <c r="O44" s="1515">
        <v>0</v>
      </c>
      <c r="P44" s="1515">
        <v>0</v>
      </c>
      <c r="Q44" s="1514">
        <v>543.34497585104566</v>
      </c>
      <c r="R44" s="1517">
        <v>2191.0054478378574</v>
      </c>
      <c r="S44" s="1528" t="s">
        <v>101</v>
      </c>
      <c r="T44" s="1519">
        <v>48072.057489360588</v>
      </c>
      <c r="U44"/>
      <c r="V44" s="1477">
        <v>1647.6604719868119</v>
      </c>
      <c r="W44" t="s">
        <v>680</v>
      </c>
    </row>
    <row r="45" spans="1:23">
      <c r="A45" s="1473" t="s">
        <v>682</v>
      </c>
      <c r="B45" s="1469" t="s">
        <v>628</v>
      </c>
      <c r="C45" s="1472" t="s">
        <v>683</v>
      </c>
      <c r="D45" s="1470">
        <v>2012</v>
      </c>
      <c r="E45" s="1514">
        <v>573747.35333572119</v>
      </c>
      <c r="F45" s="1515">
        <v>0</v>
      </c>
      <c r="G45" s="1515">
        <v>573747.35333572119</v>
      </c>
      <c r="H45" s="1474"/>
      <c r="I45" s="1514">
        <v>-7334.7779520776821</v>
      </c>
      <c r="J45" s="1516">
        <v>655756.59612063738</v>
      </c>
      <c r="K45" s="1516">
        <v>627696.21678224904</v>
      </c>
      <c r="L45" s="1514">
        <v>28060.379338388331</v>
      </c>
      <c r="M45" s="1514"/>
      <c r="N45" s="1515">
        <v>0</v>
      </c>
      <c r="O45" s="1515">
        <v>0</v>
      </c>
      <c r="P45" s="1515">
        <v>0</v>
      </c>
      <c r="Q45" s="1514">
        <v>6834.6310275710084</v>
      </c>
      <c r="R45" s="1517">
        <v>27560.232413881658</v>
      </c>
      <c r="S45" s="1528" t="s">
        <v>101</v>
      </c>
      <c r="T45" s="1519">
        <v>601307.58574960288</v>
      </c>
      <c r="U45"/>
      <c r="V45" s="1477">
        <v>20725.601386310649</v>
      </c>
      <c r="W45" t="s">
        <v>682</v>
      </c>
    </row>
    <row r="46" spans="1:23" ht="38.25">
      <c r="A46" s="1473" t="s">
        <v>684</v>
      </c>
      <c r="B46" s="1469" t="s">
        <v>628</v>
      </c>
      <c r="C46" s="1472" t="s">
        <v>685</v>
      </c>
      <c r="D46" s="1470">
        <v>2012</v>
      </c>
      <c r="E46" s="1514">
        <v>207474.75749584354</v>
      </c>
      <c r="F46" s="1515">
        <v>0</v>
      </c>
      <c r="G46" s="1515">
        <v>207474.75749584354</v>
      </c>
      <c r="H46" s="1474"/>
      <c r="I46" s="1514">
        <v>-2949.6283499022247</v>
      </c>
      <c r="J46" s="1516">
        <v>236872.74777007636</v>
      </c>
      <c r="K46" s="1516">
        <v>226736.76256355937</v>
      </c>
      <c r="L46" s="1514">
        <v>10135.985206516983</v>
      </c>
      <c r="M46" s="1514"/>
      <c r="N46" s="1515">
        <v>0</v>
      </c>
      <c r="O46" s="1515">
        <v>0</v>
      </c>
      <c r="P46" s="1515">
        <v>0</v>
      </c>
      <c r="Q46" s="1514">
        <v>2369.8273759070889</v>
      </c>
      <c r="R46" s="1517">
        <v>9556.1842325218477</v>
      </c>
      <c r="S46" s="1528" t="s">
        <v>101</v>
      </c>
      <c r="T46" s="1519">
        <v>217030.9417283654</v>
      </c>
      <c r="U46"/>
      <c r="V46" s="1477">
        <v>7186.3568566147587</v>
      </c>
      <c r="W46" t="s">
        <v>684</v>
      </c>
    </row>
    <row r="47" spans="1:23">
      <c r="A47" s="1473" t="s">
        <v>686</v>
      </c>
      <c r="B47" s="1469" t="s">
        <v>628</v>
      </c>
      <c r="C47" s="1472" t="s">
        <v>687</v>
      </c>
      <c r="D47" s="1470">
        <v>2012</v>
      </c>
      <c r="E47" s="1514">
        <v>5217794.9201800842</v>
      </c>
      <c r="F47" s="1515">
        <v>0</v>
      </c>
      <c r="G47" s="1515">
        <v>5217794.9201800842</v>
      </c>
      <c r="H47" s="1474"/>
      <c r="I47" s="1514">
        <v>-75352.519822512753</v>
      </c>
      <c r="J47" s="1516">
        <v>5956553.0697489511</v>
      </c>
      <c r="K47" s="1516">
        <v>5701667.1262827441</v>
      </c>
      <c r="L47" s="1514">
        <v>254885.94346620701</v>
      </c>
      <c r="M47" s="1514"/>
      <c r="N47" s="1515">
        <v>0</v>
      </c>
      <c r="O47" s="1515">
        <v>0</v>
      </c>
      <c r="P47" s="1515">
        <v>0</v>
      </c>
      <c r="Q47" s="1514">
        <v>59204.299303551779</v>
      </c>
      <c r="R47" s="1517">
        <v>238737.72294724605</v>
      </c>
      <c r="S47" s="1528" t="s">
        <v>101</v>
      </c>
      <c r="T47" s="1519">
        <v>5456532.6431273306</v>
      </c>
      <c r="U47"/>
      <c r="V47" s="1477">
        <v>179533.42364369426</v>
      </c>
      <c r="W47" t="s">
        <v>686</v>
      </c>
    </row>
    <row r="48" spans="1:23" ht="25.5">
      <c r="A48" s="1473" t="s">
        <v>688</v>
      </c>
      <c r="B48" s="1469" t="s">
        <v>628</v>
      </c>
      <c r="C48" s="1472" t="s">
        <v>689</v>
      </c>
      <c r="D48" s="1470">
        <v>2012</v>
      </c>
      <c r="E48" s="1514">
        <v>25093.231792842544</v>
      </c>
      <c r="F48" s="1515">
        <v>0</v>
      </c>
      <c r="G48" s="1515">
        <v>25093.231792842544</v>
      </c>
      <c r="H48" s="1474"/>
      <c r="I48" s="1514">
        <v>-278.09523457672913</v>
      </c>
      <c r="J48" s="1516">
        <v>28712.860995913888</v>
      </c>
      <c r="K48" s="1516">
        <v>27484.213390686389</v>
      </c>
      <c r="L48" s="1514">
        <v>1228.6476052274993</v>
      </c>
      <c r="M48" s="1514"/>
      <c r="N48" s="1515">
        <v>0</v>
      </c>
      <c r="O48" s="1515">
        <v>0</v>
      </c>
      <c r="P48" s="1515">
        <v>0</v>
      </c>
      <c r="Q48" s="1514">
        <v>313.4613372460214</v>
      </c>
      <c r="R48" s="1517">
        <v>1264.0137078967916</v>
      </c>
      <c r="S48" s="1528" t="s">
        <v>101</v>
      </c>
      <c r="T48" s="1519">
        <v>26357.245500739336</v>
      </c>
      <c r="U48"/>
      <c r="V48" s="1477">
        <v>950.55237065077017</v>
      </c>
      <c r="W48" t="s">
        <v>688</v>
      </c>
    </row>
    <row r="49" spans="1:23">
      <c r="A49" s="1473" t="s">
        <v>690</v>
      </c>
      <c r="B49" s="1469" t="s">
        <v>628</v>
      </c>
      <c r="C49" s="1472" t="s">
        <v>691</v>
      </c>
      <c r="D49" s="1470">
        <v>2012</v>
      </c>
      <c r="E49" s="1514">
        <v>455412.60001224402</v>
      </c>
      <c r="F49" s="1515">
        <v>0</v>
      </c>
      <c r="G49" s="1515">
        <v>455412.60001224402</v>
      </c>
      <c r="H49" s="1474"/>
      <c r="I49" s="1514">
        <v>-6691.1259697239147</v>
      </c>
      <c r="J49" s="1516">
        <v>519828.8341106759</v>
      </c>
      <c r="K49" s="1516">
        <v>497584.91866633284</v>
      </c>
      <c r="L49" s="1514">
        <v>22243.91544434306</v>
      </c>
      <c r="M49" s="1514"/>
      <c r="N49" s="1515">
        <v>0</v>
      </c>
      <c r="O49" s="1515">
        <v>0</v>
      </c>
      <c r="P49" s="1515">
        <v>0</v>
      </c>
      <c r="Q49" s="1514">
        <v>5128.8054579068494</v>
      </c>
      <c r="R49" s="1517">
        <v>20681.594932525993</v>
      </c>
      <c r="S49" s="1528" t="s">
        <v>101</v>
      </c>
      <c r="T49" s="1519">
        <v>476094.19494477002</v>
      </c>
      <c r="U49"/>
      <c r="V49" s="1477">
        <v>15552.789474619145</v>
      </c>
      <c r="W49" t="s">
        <v>690</v>
      </c>
    </row>
    <row r="50" spans="1:23">
      <c r="A50" s="1473" t="s">
        <v>692</v>
      </c>
      <c r="B50" s="1469" t="s">
        <v>628</v>
      </c>
      <c r="C50" s="1472" t="s">
        <v>693</v>
      </c>
      <c r="D50" s="1470">
        <v>2012</v>
      </c>
      <c r="E50" s="1514">
        <v>6664181.4930263404</v>
      </c>
      <c r="F50" s="1515">
        <v>0</v>
      </c>
      <c r="G50" s="1515">
        <v>6664181.4930263404</v>
      </c>
      <c r="H50" s="1474"/>
      <c r="I50" s="1514">
        <v>-97830.328308878466</v>
      </c>
      <c r="J50" s="1516">
        <v>7603950.1462161625</v>
      </c>
      <c r="K50" s="1516">
        <v>7278570.6886014258</v>
      </c>
      <c r="L50" s="1514">
        <v>325379.45761473663</v>
      </c>
      <c r="M50" s="1514"/>
      <c r="N50" s="1515">
        <v>0</v>
      </c>
      <c r="O50" s="1515">
        <v>0</v>
      </c>
      <c r="P50" s="1515">
        <v>0</v>
      </c>
      <c r="Q50" s="1514">
        <v>75038.321468336828</v>
      </c>
      <c r="R50" s="1517">
        <v>302587.45077419502</v>
      </c>
      <c r="S50" s="1528" t="s">
        <v>101</v>
      </c>
      <c r="T50" s="1519">
        <v>6966768.9438005351</v>
      </c>
      <c r="U50"/>
      <c r="V50" s="1477">
        <v>227549.12930585817</v>
      </c>
      <c r="W50" t="s">
        <v>692</v>
      </c>
    </row>
    <row r="51" spans="1:23">
      <c r="A51" s="1473" t="s">
        <v>694</v>
      </c>
      <c r="B51" s="1469" t="s">
        <v>628</v>
      </c>
      <c r="C51" s="1472" t="s">
        <v>695</v>
      </c>
      <c r="D51" s="1470">
        <v>2013</v>
      </c>
      <c r="E51" s="1514">
        <v>959121.63664949557</v>
      </c>
      <c r="F51" s="1515">
        <v>0</v>
      </c>
      <c r="G51" s="1515">
        <v>959121.63664949557</v>
      </c>
      <c r="H51" s="1474"/>
      <c r="I51" s="1514">
        <v>-14419.643237290438</v>
      </c>
      <c r="J51" s="1516">
        <v>1091780.5533226063</v>
      </c>
      <c r="K51" s="1516">
        <v>1045062.3400987596</v>
      </c>
      <c r="L51" s="1514">
        <v>46718.213223846629</v>
      </c>
      <c r="M51" s="1514"/>
      <c r="N51" s="1515">
        <v>0</v>
      </c>
      <c r="O51" s="1515">
        <v>0</v>
      </c>
      <c r="P51" s="1515">
        <v>0</v>
      </c>
      <c r="Q51" s="1514">
        <v>10651.020660953956</v>
      </c>
      <c r="R51" s="1517">
        <v>42949.590647510151</v>
      </c>
      <c r="S51" s="1528" t="s">
        <v>101</v>
      </c>
      <c r="T51" s="1519">
        <v>1002071.2272970057</v>
      </c>
      <c r="U51"/>
      <c r="V51" s="1477">
        <v>32298.569986556191</v>
      </c>
      <c r="W51" t="s">
        <v>694</v>
      </c>
    </row>
    <row r="52" spans="1:23">
      <c r="A52" s="1473" t="s">
        <v>696</v>
      </c>
      <c r="B52" s="1469" t="s">
        <v>628</v>
      </c>
      <c r="C52" s="1472" t="s">
        <v>697</v>
      </c>
      <c r="D52" s="1470">
        <v>2013</v>
      </c>
      <c r="E52" s="1514">
        <v>485035.53539686697</v>
      </c>
      <c r="F52" s="1515">
        <v>0</v>
      </c>
      <c r="G52" s="1515">
        <v>485035.53539686697</v>
      </c>
      <c r="H52" s="1474"/>
      <c r="I52" s="1514">
        <v>-7779.3753058165312</v>
      </c>
      <c r="J52" s="1516">
        <v>543535.8787054884</v>
      </c>
      <c r="K52" s="1516">
        <v>520277.5187732699</v>
      </c>
      <c r="L52" s="1514">
        <v>23258.359932218504</v>
      </c>
      <c r="M52" s="1514"/>
      <c r="N52" s="1515">
        <v>0</v>
      </c>
      <c r="O52" s="1515">
        <v>0</v>
      </c>
      <c r="P52" s="1515">
        <v>0</v>
      </c>
      <c r="Q52" s="1514">
        <v>5104.4670130912773</v>
      </c>
      <c r="R52" s="1517">
        <v>20583.451639493251</v>
      </c>
      <c r="S52" s="1528" t="s">
        <v>101</v>
      </c>
      <c r="T52" s="1519">
        <v>505618.98703636019</v>
      </c>
      <c r="U52"/>
      <c r="V52" s="1477">
        <v>15478.984626401972</v>
      </c>
      <c r="W52" t="s">
        <v>696</v>
      </c>
    </row>
    <row r="53" spans="1:23">
      <c r="A53" s="1473" t="s">
        <v>698</v>
      </c>
      <c r="B53" s="1469" t="s">
        <v>628</v>
      </c>
      <c r="C53" s="1472" t="s">
        <v>699</v>
      </c>
      <c r="D53" s="1470">
        <v>2013</v>
      </c>
      <c r="E53" s="1514">
        <v>726577.43679839186</v>
      </c>
      <c r="F53" s="1515">
        <v>0</v>
      </c>
      <c r="G53" s="1515">
        <v>726577.43679839186</v>
      </c>
      <c r="H53" s="1474"/>
      <c r="I53" s="1514">
        <v>-21829.140582863474</v>
      </c>
      <c r="J53" s="1516">
        <v>793379.39351075469</v>
      </c>
      <c r="K53" s="1516">
        <v>759430.01828086877</v>
      </c>
      <c r="L53" s="1514">
        <v>33949.375229885918</v>
      </c>
      <c r="M53" s="1514"/>
      <c r="N53" s="1515">
        <v>0</v>
      </c>
      <c r="O53" s="1515">
        <v>0</v>
      </c>
      <c r="P53" s="1515">
        <v>0</v>
      </c>
      <c r="Q53" s="1514">
        <v>3996.8602230618585</v>
      </c>
      <c r="R53" s="1517">
        <v>16117.094870084302</v>
      </c>
      <c r="S53" s="1528" t="s">
        <v>101</v>
      </c>
      <c r="T53" s="1519">
        <v>742694.53166847618</v>
      </c>
      <c r="U53"/>
      <c r="V53" s="1477">
        <v>12120.234647022444</v>
      </c>
      <c r="W53" t="s">
        <v>698</v>
      </c>
    </row>
    <row r="54" spans="1:23" ht="25.5">
      <c r="A54" s="1473" t="s">
        <v>700</v>
      </c>
      <c r="B54" s="1469" t="s">
        <v>628</v>
      </c>
      <c r="C54" s="1472" t="s">
        <v>701</v>
      </c>
      <c r="D54" s="1470">
        <v>2013</v>
      </c>
      <c r="E54" s="1514">
        <v>563375.86649676971</v>
      </c>
      <c r="F54" s="1515">
        <v>0</v>
      </c>
      <c r="G54" s="1515">
        <v>563375.86649676971</v>
      </c>
      <c r="H54" s="1474"/>
      <c r="I54" s="1514">
        <v>-8780.8434410992777</v>
      </c>
      <c r="J54" s="1516">
        <v>639721.89806731604</v>
      </c>
      <c r="K54" s="1516">
        <v>612347.65701959003</v>
      </c>
      <c r="L54" s="1514">
        <v>27374.241047726013</v>
      </c>
      <c r="M54" s="1514"/>
      <c r="N54" s="1515">
        <v>0</v>
      </c>
      <c r="O54" s="1515">
        <v>0</v>
      </c>
      <c r="P54" s="1515">
        <v>0</v>
      </c>
      <c r="Q54" s="1514">
        <v>6131.4993867512985</v>
      </c>
      <c r="R54" s="1517">
        <v>24724.896993378032</v>
      </c>
      <c r="S54" s="1528" t="s">
        <v>101</v>
      </c>
      <c r="T54" s="1519">
        <v>588100.76349014777</v>
      </c>
      <c r="U54"/>
      <c r="V54" s="1477">
        <v>18593.397606626735</v>
      </c>
      <c r="W54" t="s">
        <v>700</v>
      </c>
    </row>
    <row r="55" spans="1:23" ht="25.5">
      <c r="A55" s="1473" t="s">
        <v>702</v>
      </c>
      <c r="B55" s="1469" t="s">
        <v>628</v>
      </c>
      <c r="C55" s="1472" t="s">
        <v>703</v>
      </c>
      <c r="D55" s="1470">
        <v>2013</v>
      </c>
      <c r="E55" s="1514">
        <v>293324.80040853692</v>
      </c>
      <c r="F55" s="1515">
        <v>0</v>
      </c>
      <c r="G55" s="1515">
        <v>293324.80040853692</v>
      </c>
      <c r="H55" s="1474"/>
      <c r="I55" s="1514">
        <v>-3551.4415167319821</v>
      </c>
      <c r="J55" s="1516">
        <v>338189.50973209995</v>
      </c>
      <c r="K55" s="1516">
        <v>323718.09459501074</v>
      </c>
      <c r="L55" s="1514">
        <v>14471.415137089207</v>
      </c>
      <c r="M55" s="1514"/>
      <c r="N55" s="1515">
        <v>0</v>
      </c>
      <c r="O55" s="1515">
        <v>0</v>
      </c>
      <c r="P55" s="1515">
        <v>0</v>
      </c>
      <c r="Q55" s="1514">
        <v>3601.0530712631812</v>
      </c>
      <c r="R55" s="1517">
        <v>14521.026691620405</v>
      </c>
      <c r="S55" s="1528" t="s">
        <v>101</v>
      </c>
      <c r="T55" s="1519">
        <v>307845.82710015733</v>
      </c>
      <c r="U55"/>
      <c r="V55" s="1477">
        <v>10919.973620357225</v>
      </c>
      <c r="W55" t="s">
        <v>702</v>
      </c>
    </row>
    <row r="56" spans="1:23" ht="25.5">
      <c r="A56" s="1478" t="s">
        <v>704</v>
      </c>
      <c r="B56" s="1469" t="s">
        <v>628</v>
      </c>
      <c r="C56" s="1472" t="s">
        <v>705</v>
      </c>
      <c r="D56" s="1470">
        <v>2013</v>
      </c>
      <c r="E56" s="1514">
        <v>477697.48914694053</v>
      </c>
      <c r="F56" s="1515">
        <v>0</v>
      </c>
      <c r="G56" s="1515">
        <v>477697.48914694053</v>
      </c>
      <c r="H56" s="1474"/>
      <c r="I56" s="1514">
        <v>-6841.8693934823386</v>
      </c>
      <c r="J56" s="1516">
        <v>545257.28500613489</v>
      </c>
      <c r="K56" s="1516">
        <v>521925.26464247372</v>
      </c>
      <c r="L56" s="1514">
        <v>23332.02036366117</v>
      </c>
      <c r="M56" s="1514"/>
      <c r="N56" s="1515">
        <v>0</v>
      </c>
      <c r="O56" s="1515">
        <v>0</v>
      </c>
      <c r="P56" s="1515">
        <v>0</v>
      </c>
      <c r="Q56" s="1514">
        <v>5437.9168724414421</v>
      </c>
      <c r="R56" s="1517">
        <v>21928.067842620272</v>
      </c>
      <c r="S56" s="1528" t="s">
        <v>101</v>
      </c>
      <c r="T56" s="1519">
        <v>499625.55698956078</v>
      </c>
      <c r="U56"/>
      <c r="V56" s="1477">
        <v>16490.150970178831</v>
      </c>
      <c r="W56" t="s">
        <v>704</v>
      </c>
    </row>
    <row r="57" spans="1:23">
      <c r="A57" s="1478" t="s">
        <v>706</v>
      </c>
      <c r="B57" s="1469" t="s">
        <v>628</v>
      </c>
      <c r="C57" s="1472" t="s">
        <v>707</v>
      </c>
      <c r="D57" s="1470">
        <v>2014</v>
      </c>
      <c r="E57" s="1514">
        <v>1094149.6783416914</v>
      </c>
      <c r="F57" s="1515">
        <v>0</v>
      </c>
      <c r="G57" s="1515">
        <v>1094149.6783416914</v>
      </c>
      <c r="H57" s="1474"/>
      <c r="I57" s="1514">
        <v>-16089.852805063827</v>
      </c>
      <c r="J57" s="1516">
        <v>1250366.8161513954</v>
      </c>
      <c r="K57" s="1516">
        <v>1196862.5626205832</v>
      </c>
      <c r="L57" s="1514">
        <v>53504.253530812217</v>
      </c>
      <c r="M57" s="1514"/>
      <c r="N57" s="1515">
        <v>0</v>
      </c>
      <c r="O57" s="1515">
        <v>0</v>
      </c>
      <c r="P57" s="1515">
        <v>0</v>
      </c>
      <c r="Q57" s="1514">
        <v>12338.055688317696</v>
      </c>
      <c r="R57" s="1517">
        <v>49752.456414066088</v>
      </c>
      <c r="S57" s="1528" t="s">
        <v>101</v>
      </c>
      <c r="T57" s="1519">
        <v>1143902.1347557574</v>
      </c>
      <c r="U57"/>
      <c r="V57" s="1477">
        <v>37414.40072574839</v>
      </c>
      <c r="W57" t="s">
        <v>706</v>
      </c>
    </row>
    <row r="58" spans="1:23">
      <c r="A58" s="1478" t="s">
        <v>708</v>
      </c>
      <c r="B58" s="1469" t="s">
        <v>628</v>
      </c>
      <c r="C58" s="1472" t="s">
        <v>709</v>
      </c>
      <c r="D58" s="1470">
        <v>2014</v>
      </c>
      <c r="E58" s="1514">
        <v>560692.95712288842</v>
      </c>
      <c r="F58" s="1515">
        <v>0</v>
      </c>
      <c r="G58" s="1515">
        <v>560692.95712288842</v>
      </c>
      <c r="H58" s="1474"/>
      <c r="I58" s="1514">
        <v>-8093.627975943964</v>
      </c>
      <c r="J58" s="1516">
        <v>645113.95248441538</v>
      </c>
      <c r="K58" s="1516">
        <v>617508.98086798121</v>
      </c>
      <c r="L58" s="1514">
        <v>27604.971616434166</v>
      </c>
      <c r="M58" s="1514"/>
      <c r="N58" s="1515">
        <v>0</v>
      </c>
      <c r="O58" s="1515">
        <v>0</v>
      </c>
      <c r="P58" s="1515">
        <v>0</v>
      </c>
      <c r="Q58" s="1514">
        <v>6434.2082118290064</v>
      </c>
      <c r="R58" s="1517">
        <v>25945.551852319208</v>
      </c>
      <c r="S58" s="1528" t="s">
        <v>101</v>
      </c>
      <c r="T58" s="1519">
        <v>586638.50897520757</v>
      </c>
      <c r="U58"/>
      <c r="V58" s="1477">
        <v>19511.343640490202</v>
      </c>
      <c r="W58" t="s">
        <v>708</v>
      </c>
    </row>
    <row r="59" spans="1:23" ht="25.5" customHeight="1">
      <c r="A59" s="1478" t="s">
        <v>710</v>
      </c>
      <c r="B59" s="1469" t="s">
        <v>628</v>
      </c>
      <c r="C59" s="1472" t="s">
        <v>711</v>
      </c>
      <c r="D59" s="1470">
        <v>2014</v>
      </c>
      <c r="E59" s="1514">
        <v>603537.51170168689</v>
      </c>
      <c r="F59" s="1515">
        <v>0</v>
      </c>
      <c r="G59" s="1515">
        <v>603537.51170168689</v>
      </c>
      <c r="H59" s="1474"/>
      <c r="I59" s="1514">
        <v>-9922.3426097495249</v>
      </c>
      <c r="J59" s="1516">
        <v>684403.04738534929</v>
      </c>
      <c r="K59" s="1516">
        <v>655116.86217029602</v>
      </c>
      <c r="L59" s="1514">
        <v>29286.185215053265</v>
      </c>
      <c r="M59" s="1514"/>
      <c r="N59" s="1515">
        <v>0</v>
      </c>
      <c r="O59" s="1515">
        <v>0</v>
      </c>
      <c r="P59" s="1515">
        <v>0</v>
      </c>
      <c r="Q59" s="1514">
        <v>6385.5671551525957</v>
      </c>
      <c r="R59" s="1517">
        <v>25749.409760456336</v>
      </c>
      <c r="S59" s="1528" t="s">
        <v>101</v>
      </c>
      <c r="T59" s="1519">
        <v>629286.92146214319</v>
      </c>
      <c r="U59"/>
      <c r="V59" s="1477">
        <v>19363.84260530374</v>
      </c>
      <c r="W59" t="s">
        <v>710</v>
      </c>
    </row>
    <row r="60" spans="1:23" ht="28.5" customHeight="1">
      <c r="A60" s="1478" t="s">
        <v>712</v>
      </c>
      <c r="B60" s="1469" t="s">
        <v>628</v>
      </c>
      <c r="C60" s="1472" t="s">
        <v>713</v>
      </c>
      <c r="D60" s="1470">
        <v>2014</v>
      </c>
      <c r="E60" s="1514">
        <v>1700764.2518044112</v>
      </c>
      <c r="F60" s="1515">
        <v>0</v>
      </c>
      <c r="G60" s="1515">
        <v>1700764.2518044112</v>
      </c>
      <c r="H60" s="1474"/>
      <c r="I60" s="1514">
        <v>-36316.95012534759</v>
      </c>
      <c r="J60" s="1516">
        <v>1933258.5464621638</v>
      </c>
      <c r="K60" s="1516">
        <v>1850532.7782520799</v>
      </c>
      <c r="L60" s="1514">
        <v>82725.768210083945</v>
      </c>
      <c r="M60" s="1514"/>
      <c r="N60" s="1515">
        <v>0</v>
      </c>
      <c r="O60" s="1515">
        <v>0</v>
      </c>
      <c r="P60" s="1515">
        <v>0</v>
      </c>
      <c r="Q60" s="1514">
        <v>15304.122766943745</v>
      </c>
      <c r="R60" s="1517">
        <v>61712.940851680098</v>
      </c>
      <c r="S60" s="1528" t="s">
        <v>101</v>
      </c>
      <c r="T60" s="1519">
        <v>1762477.1926560912</v>
      </c>
      <c r="U60"/>
      <c r="V60" s="1477">
        <v>46408.818084736355</v>
      </c>
      <c r="W60" t="s">
        <v>712</v>
      </c>
    </row>
    <row r="61" spans="1:23" ht="17.25" customHeight="1">
      <c r="A61" s="1478" t="s">
        <v>714</v>
      </c>
      <c r="B61" s="1469" t="s">
        <v>628</v>
      </c>
      <c r="C61" s="1472" t="s">
        <v>715</v>
      </c>
      <c r="D61" s="1470">
        <v>2007</v>
      </c>
      <c r="E61" s="1514">
        <v>2846720.3757507093</v>
      </c>
      <c r="F61" s="1515">
        <v>0</v>
      </c>
      <c r="G61" s="1515">
        <v>2846720.3757507093</v>
      </c>
      <c r="H61" s="1474"/>
      <c r="I61" s="1514">
        <v>573183.54713025456</v>
      </c>
      <c r="J61" s="1516">
        <v>3760501.9486012473</v>
      </c>
      <c r="K61" s="1516">
        <v>3599586.8898664252</v>
      </c>
      <c r="L61" s="1514">
        <v>160915.05873482209</v>
      </c>
      <c r="M61" s="1514"/>
      <c r="N61" s="1515">
        <v>0</v>
      </c>
      <c r="O61" s="1515">
        <v>0</v>
      </c>
      <c r="P61" s="1515">
        <v>0</v>
      </c>
      <c r="Q61" s="1514">
        <v>242081.90707826786</v>
      </c>
      <c r="R61" s="1517">
        <v>976180.51294334454</v>
      </c>
      <c r="S61" s="1528" t="s">
        <v>101</v>
      </c>
      <c r="T61" s="1519">
        <v>3822900.888694054</v>
      </c>
      <c r="U61"/>
      <c r="V61" s="1477">
        <v>734098.60586507665</v>
      </c>
      <c r="W61" t="s">
        <v>714</v>
      </c>
    </row>
    <row r="62" spans="1:23" ht="17.25" customHeight="1">
      <c r="A62" s="1478" t="s">
        <v>716</v>
      </c>
      <c r="B62" s="1469" t="s">
        <v>628</v>
      </c>
      <c r="C62" s="1472" t="s">
        <v>717</v>
      </c>
      <c r="D62" s="1470">
        <v>2007</v>
      </c>
      <c r="E62" s="1514">
        <v>255656.42402006662</v>
      </c>
      <c r="F62" s="1515">
        <v>0</v>
      </c>
      <c r="G62" s="1515">
        <v>255656.42402006662</v>
      </c>
      <c r="H62" s="1474"/>
      <c r="I62" s="1514">
        <v>57700.379854610015</v>
      </c>
      <c r="J62" s="1516">
        <v>342904.03722592746</v>
      </c>
      <c r="K62" s="1516">
        <v>328230.88347017899</v>
      </c>
      <c r="L62" s="1514">
        <v>14673.15375574847</v>
      </c>
      <c r="M62" s="1514"/>
      <c r="N62" s="1515">
        <v>0</v>
      </c>
      <c r="O62" s="1515">
        <v>0</v>
      </c>
      <c r="P62" s="1515">
        <v>0</v>
      </c>
      <c r="Q62" s="1514">
        <v>23866.443688096089</v>
      </c>
      <c r="R62" s="1517">
        <v>96239.977298454571</v>
      </c>
      <c r="S62" s="1528" t="s">
        <v>101</v>
      </c>
      <c r="T62" s="1519">
        <v>351896.40131852118</v>
      </c>
      <c r="U62"/>
      <c r="V62" s="1477">
        <v>72373.533610358485</v>
      </c>
      <c r="W62" t="s">
        <v>716</v>
      </c>
    </row>
    <row r="63" spans="1:23" ht="17.25" customHeight="1">
      <c r="A63" s="1478" t="s">
        <v>718</v>
      </c>
      <c r="B63" s="1469" t="s">
        <v>628</v>
      </c>
      <c r="C63" s="1472" t="s">
        <v>719</v>
      </c>
      <c r="D63" s="1470">
        <v>2008</v>
      </c>
      <c r="E63" s="1514">
        <v>1615984.5016341209</v>
      </c>
      <c r="F63" s="1515">
        <v>0</v>
      </c>
      <c r="G63" s="1515">
        <v>1615984.5016341209</v>
      </c>
      <c r="H63" s="1474"/>
      <c r="I63" s="1514">
        <v>296720.7367505827</v>
      </c>
      <c r="J63" s="1516">
        <v>2110843.4283784716</v>
      </c>
      <c r="K63" s="1516">
        <v>2020518.6528830414</v>
      </c>
      <c r="L63" s="1514">
        <v>90324.775495430222</v>
      </c>
      <c r="M63" s="1514"/>
      <c r="N63" s="1515">
        <v>0</v>
      </c>
      <c r="O63" s="1515">
        <v>0</v>
      </c>
      <c r="P63" s="1515">
        <v>0</v>
      </c>
      <c r="Q63" s="1514">
        <v>127635.05472154626</v>
      </c>
      <c r="R63" s="1517">
        <v>514680.56696755916</v>
      </c>
      <c r="S63" s="1528" t="s">
        <v>101</v>
      </c>
      <c r="T63" s="1519">
        <v>2130665.06860168</v>
      </c>
      <c r="U63"/>
      <c r="V63" s="1477">
        <v>387045.51224601292</v>
      </c>
      <c r="W63" t="s">
        <v>718</v>
      </c>
    </row>
    <row r="64" spans="1:23" ht="17.25" customHeight="1">
      <c r="A64" s="1478" t="s">
        <v>720</v>
      </c>
      <c r="B64" s="1469" t="s">
        <v>628</v>
      </c>
      <c r="C64" s="1472" t="s">
        <v>721</v>
      </c>
      <c r="D64" s="1470">
        <v>2012</v>
      </c>
      <c r="E64" s="1514">
        <v>85258.833497126558</v>
      </c>
      <c r="F64" s="1515">
        <v>0</v>
      </c>
      <c r="G64" s="1515">
        <v>85258.833497126558</v>
      </c>
      <c r="H64" s="1474"/>
      <c r="I64" s="1514">
        <v>5406.9384864714957</v>
      </c>
      <c r="J64" s="1516">
        <v>102833.38966326017</v>
      </c>
      <c r="K64" s="1516">
        <v>98433.06195070059</v>
      </c>
      <c r="L64" s="1514">
        <v>4400.3277125595778</v>
      </c>
      <c r="M64" s="1514"/>
      <c r="N64" s="1515">
        <v>0</v>
      </c>
      <c r="O64" s="1515">
        <v>0</v>
      </c>
      <c r="P64" s="1515">
        <v>0</v>
      </c>
      <c r="Q64" s="1514">
        <v>3234.1182583883497</v>
      </c>
      <c r="R64" s="1517">
        <v>13041.384457419423</v>
      </c>
      <c r="S64" s="1528" t="s">
        <v>101</v>
      </c>
      <c r="T64" s="1519">
        <v>98300.21795454598</v>
      </c>
      <c r="U64"/>
      <c r="V64" s="1477">
        <v>9807.2661990310735</v>
      </c>
      <c r="W64" t="s">
        <v>720</v>
      </c>
    </row>
    <row r="65" spans="1:23" ht="17.25" customHeight="1">
      <c r="A65" s="1478" t="s">
        <v>722</v>
      </c>
      <c r="B65" s="1469" t="s">
        <v>628</v>
      </c>
      <c r="C65" s="1472" t="s">
        <v>723</v>
      </c>
      <c r="D65" s="1470">
        <v>2010</v>
      </c>
      <c r="E65" s="1514">
        <v>16593.409752090753</v>
      </c>
      <c r="F65" s="1515">
        <v>0</v>
      </c>
      <c r="G65" s="1515">
        <v>16593.409752090753</v>
      </c>
      <c r="H65" s="1474"/>
      <c r="I65" s="1514">
        <v>2027.4834847716229</v>
      </c>
      <c r="J65" s="1516">
        <v>20825.912694281938</v>
      </c>
      <c r="K65" s="1516">
        <v>19934.754277078307</v>
      </c>
      <c r="L65" s="1514">
        <v>891.15841720363096</v>
      </c>
      <c r="M65" s="1514"/>
      <c r="N65" s="1515">
        <v>0</v>
      </c>
      <c r="O65" s="1515">
        <v>0</v>
      </c>
      <c r="P65" s="1515">
        <v>0</v>
      </c>
      <c r="Q65" s="1514">
        <v>962.47342259436527</v>
      </c>
      <c r="R65" s="1517">
        <v>3881.1153245696191</v>
      </c>
      <c r="S65" s="1528" t="s">
        <v>101</v>
      </c>
      <c r="T65" s="1519">
        <v>20474.525076660371</v>
      </c>
      <c r="U65"/>
      <c r="V65" s="1477">
        <v>2918.6419019752539</v>
      </c>
      <c r="W65" t="s">
        <v>722</v>
      </c>
    </row>
    <row r="66" spans="1:23" ht="17.25" customHeight="1">
      <c r="A66" s="1478" t="s">
        <v>724</v>
      </c>
      <c r="B66" s="1469" t="s">
        <v>628</v>
      </c>
      <c r="C66" s="1472" t="s">
        <v>725</v>
      </c>
      <c r="D66" s="1470">
        <v>2010</v>
      </c>
      <c r="E66" s="1514">
        <v>2435.0246831971699</v>
      </c>
      <c r="F66" s="1515">
        <v>0</v>
      </c>
      <c r="G66" s="1515">
        <v>2435.0246831971699</v>
      </c>
      <c r="H66" s="1474"/>
      <c r="I66" s="1514">
        <v>393.91909120226774</v>
      </c>
      <c r="J66" s="1516">
        <v>3027.7157975353825</v>
      </c>
      <c r="K66" s="1516">
        <v>2898.1572779409503</v>
      </c>
      <c r="L66" s="1514">
        <v>129.55851959443225</v>
      </c>
      <c r="M66" s="1514"/>
      <c r="N66" s="1515">
        <v>0</v>
      </c>
      <c r="O66" s="1515">
        <v>0</v>
      </c>
      <c r="P66" s="1515">
        <v>0</v>
      </c>
      <c r="Q66" s="1514">
        <v>172.62593515636189</v>
      </c>
      <c r="R66" s="1517">
        <v>696.10354595306194</v>
      </c>
      <c r="S66" s="1528" t="s">
        <v>101</v>
      </c>
      <c r="T66" s="1519">
        <v>3131.1282291502321</v>
      </c>
      <c r="U66"/>
      <c r="V66" s="1477">
        <v>523.47761079669999</v>
      </c>
      <c r="W66" t="s">
        <v>724</v>
      </c>
    </row>
    <row r="67" spans="1:23" ht="17.25" customHeight="1">
      <c r="A67" s="1478" t="s">
        <v>726</v>
      </c>
      <c r="B67" s="1469" t="s">
        <v>628</v>
      </c>
      <c r="C67" s="1472" t="s">
        <v>727</v>
      </c>
      <c r="D67" s="1470">
        <v>2015</v>
      </c>
      <c r="E67" s="1514">
        <v>1863097.8299174123</v>
      </c>
      <c r="F67" s="1515">
        <v>0</v>
      </c>
      <c r="G67" s="1515">
        <v>1863097.8299174123</v>
      </c>
      <c r="H67" s="1474"/>
      <c r="I67" s="1514">
        <v>-7942.9026610841975</v>
      </c>
      <c r="J67" s="1516">
        <v>2199663.6082225577</v>
      </c>
      <c r="K67" s="1516">
        <v>2105538.1421140661</v>
      </c>
      <c r="L67" s="1514">
        <v>94125.466108491644</v>
      </c>
      <c r="M67" s="1514"/>
      <c r="N67" s="1515">
        <v>0</v>
      </c>
      <c r="O67" s="1515">
        <v>0</v>
      </c>
      <c r="P67" s="1515">
        <v>0</v>
      </c>
      <c r="Q67" s="1514">
        <v>28420.213782665545</v>
      </c>
      <c r="R67" s="1517">
        <v>114602.777230073</v>
      </c>
      <c r="S67" s="1528" t="s">
        <v>101</v>
      </c>
      <c r="T67" s="1519">
        <v>1977700.6071474853</v>
      </c>
      <c r="U67"/>
      <c r="V67" s="1477">
        <v>86182.563447407447</v>
      </c>
      <c r="W67" t="s">
        <v>726</v>
      </c>
    </row>
    <row r="68" spans="1:23" ht="17.25" customHeight="1">
      <c r="A68" s="1478" t="s">
        <v>728</v>
      </c>
      <c r="B68" s="1469" t="s">
        <v>628</v>
      </c>
      <c r="C68" s="1472" t="s">
        <v>729</v>
      </c>
      <c r="D68" s="1470">
        <v>2015</v>
      </c>
      <c r="E68" s="1514">
        <v>638709.52956521045</v>
      </c>
      <c r="F68" s="1515">
        <v>0</v>
      </c>
      <c r="G68" s="1515">
        <v>638709.52956521045</v>
      </c>
      <c r="H68" s="1474"/>
      <c r="I68" s="1514">
        <v>3738.9207022680202</v>
      </c>
      <c r="J68" s="1516">
        <v>749467.48037931114</v>
      </c>
      <c r="K68" s="1516">
        <v>717397.13304976525</v>
      </c>
      <c r="L68" s="1514">
        <v>32070.347329545883</v>
      </c>
      <c r="M68" s="1514"/>
      <c r="N68" s="1515">
        <v>0</v>
      </c>
      <c r="O68" s="1515">
        <v>0</v>
      </c>
      <c r="P68" s="1515">
        <v>0</v>
      </c>
      <c r="Q68" s="1514">
        <v>11808.734994126435</v>
      </c>
      <c r="R68" s="1517">
        <v>47618.003025940336</v>
      </c>
      <c r="S68" s="1528" t="s">
        <v>101</v>
      </c>
      <c r="T68" s="1519">
        <v>686327.53259115084</v>
      </c>
      <c r="U68"/>
      <c r="V68" s="1477">
        <v>35809.268031813903</v>
      </c>
      <c r="W68" t="s">
        <v>728</v>
      </c>
    </row>
    <row r="69" spans="1:23" ht="17.25" customHeight="1">
      <c r="A69" s="1478" t="s">
        <v>730</v>
      </c>
      <c r="B69" s="1469" t="s">
        <v>628</v>
      </c>
      <c r="C69" s="1472" t="s">
        <v>731</v>
      </c>
      <c r="D69" s="1470">
        <v>2015</v>
      </c>
      <c r="E69" s="1514">
        <v>1398318.2519901015</v>
      </c>
      <c r="F69" s="1515">
        <v>0</v>
      </c>
      <c r="G69" s="1515">
        <v>1398318.2519901015</v>
      </c>
      <c r="H69" s="1474"/>
      <c r="I69" s="1514">
        <v>-20283.76199730183</v>
      </c>
      <c r="J69" s="1516">
        <v>1638469.1481230608</v>
      </c>
      <c r="K69" s="1516">
        <v>1568357.6675789582</v>
      </c>
      <c r="L69" s="1514">
        <v>70111.480544102611</v>
      </c>
      <c r="M69" s="1514"/>
      <c r="N69" s="1515">
        <v>0</v>
      </c>
      <c r="O69" s="1515">
        <v>0</v>
      </c>
      <c r="P69" s="1515">
        <v>0</v>
      </c>
      <c r="Q69" s="1514">
        <v>16431.565234964786</v>
      </c>
      <c r="R69" s="1517">
        <v>66259.283781765567</v>
      </c>
      <c r="S69" s="1528" t="s">
        <v>101</v>
      </c>
      <c r="T69" s="1519">
        <v>1464577.535771867</v>
      </c>
      <c r="U69"/>
      <c r="V69" s="1477">
        <v>49827.718546800781</v>
      </c>
      <c r="W69" t="s">
        <v>730</v>
      </c>
    </row>
    <row r="70" spans="1:23" ht="17.25" customHeight="1">
      <c r="A70" s="1478" t="s">
        <v>732</v>
      </c>
      <c r="B70" s="1469" t="s">
        <v>628</v>
      </c>
      <c r="C70" s="1472" t="s">
        <v>733</v>
      </c>
      <c r="D70" s="1470">
        <v>2015</v>
      </c>
      <c r="E70" s="1514">
        <v>673644.15650562383</v>
      </c>
      <c r="F70" s="1515">
        <v>0</v>
      </c>
      <c r="G70" s="1515">
        <v>673644.15650562383</v>
      </c>
      <c r="H70" s="1474"/>
      <c r="I70" s="1514">
        <v>-9998.7871246645227</v>
      </c>
      <c r="J70" s="1516">
        <v>789432.67107899778</v>
      </c>
      <c r="K70" s="1530">
        <v>755652.17943981243</v>
      </c>
      <c r="L70" s="1514">
        <v>33780.491639185348</v>
      </c>
      <c r="M70" s="1514"/>
      <c r="N70" s="1515">
        <v>0</v>
      </c>
      <c r="O70" s="1515">
        <v>0</v>
      </c>
      <c r="P70" s="1515">
        <v>0</v>
      </c>
      <c r="Q70" s="1514">
        <v>7842.434703526982</v>
      </c>
      <c r="R70" s="1517">
        <v>31624.139218047807</v>
      </c>
      <c r="S70" s="1528" t="s">
        <v>101</v>
      </c>
      <c r="T70" s="1519">
        <v>705268.29572367168</v>
      </c>
      <c r="U70"/>
      <c r="V70" s="1477">
        <v>23781.704514520825</v>
      </c>
      <c r="W70" t="s">
        <v>732</v>
      </c>
    </row>
    <row r="71" spans="1:23" ht="17.25" customHeight="1">
      <c r="A71" s="1478" t="s">
        <v>734</v>
      </c>
      <c r="B71" s="1469" t="s">
        <v>628</v>
      </c>
      <c r="C71" s="1472" t="s">
        <v>735</v>
      </c>
      <c r="D71" s="1470">
        <v>2015</v>
      </c>
      <c r="E71" s="1514">
        <v>1626156.5315372816</v>
      </c>
      <c r="F71" s="1515">
        <v>0</v>
      </c>
      <c r="G71" s="1515">
        <v>1626156.5315372816</v>
      </c>
      <c r="H71" s="1474"/>
      <c r="I71" s="1514">
        <v>-24079.031055758242</v>
      </c>
      <c r="J71" s="1516">
        <v>1896204.864795489</v>
      </c>
      <c r="K71" s="1516">
        <v>1815064.654961183</v>
      </c>
      <c r="L71" s="1514">
        <v>81140.209834306035</v>
      </c>
      <c r="M71" s="1514"/>
      <c r="N71" s="1515">
        <v>0</v>
      </c>
      <c r="O71" s="1515">
        <v>0</v>
      </c>
      <c r="P71" s="1515">
        <v>0</v>
      </c>
      <c r="Q71" s="1514">
        <v>18816.925776022628</v>
      </c>
      <c r="R71" s="1517">
        <v>75878.104554570426</v>
      </c>
      <c r="S71" s="1528" t="s">
        <v>101</v>
      </c>
      <c r="T71" s="1519">
        <v>1702034.6360918521</v>
      </c>
      <c r="U71"/>
      <c r="V71" s="1477">
        <v>57061.178778547794</v>
      </c>
      <c r="W71" t="s">
        <v>734</v>
      </c>
    </row>
    <row r="72" spans="1:23" ht="17.25" customHeight="1">
      <c r="A72" s="1478" t="s">
        <v>736</v>
      </c>
      <c r="B72" s="1469" t="s">
        <v>628</v>
      </c>
      <c r="C72" s="1472" t="s">
        <v>785</v>
      </c>
      <c r="D72" s="1470">
        <v>2016</v>
      </c>
      <c r="E72" s="1514">
        <v>1114749.2614602032</v>
      </c>
      <c r="F72" s="1515">
        <v>0</v>
      </c>
      <c r="G72" s="1515">
        <v>1114749.2614602032</v>
      </c>
      <c r="H72" s="1474"/>
      <c r="I72" s="1514">
        <v>-16915.353336915839</v>
      </c>
      <c r="J72" s="1516">
        <v>876829.42853606725</v>
      </c>
      <c r="K72" s="1516">
        <v>839309.15573158604</v>
      </c>
      <c r="L72" s="1514">
        <v>37520.27280448121</v>
      </c>
      <c r="M72" s="1514"/>
      <c r="N72" s="1515">
        <v>0</v>
      </c>
      <c r="O72" s="1515">
        <v>0</v>
      </c>
      <c r="P72" s="1515">
        <v>0</v>
      </c>
      <c r="Q72" s="1514">
        <v>6794.8340455221278</v>
      </c>
      <c r="R72" s="1517">
        <v>27399.753513087497</v>
      </c>
      <c r="S72" s="1528" t="s">
        <v>101</v>
      </c>
      <c r="T72" s="1519">
        <v>1142149.0149732907</v>
      </c>
      <c r="U72"/>
      <c r="V72" s="1477">
        <v>20604.919467565371</v>
      </c>
      <c r="W72" t="s">
        <v>736</v>
      </c>
    </row>
    <row r="73" spans="1:23" ht="17.25" customHeight="1">
      <c r="A73" s="1478" t="s">
        <v>737</v>
      </c>
      <c r="B73" s="1469" t="s">
        <v>628</v>
      </c>
      <c r="C73" s="1472" t="s">
        <v>786</v>
      </c>
      <c r="D73" s="1470">
        <v>2016</v>
      </c>
      <c r="E73" s="1514">
        <v>185517.84168467647</v>
      </c>
      <c r="F73" s="1515">
        <v>0</v>
      </c>
      <c r="G73" s="1515">
        <v>185517.84168467647</v>
      </c>
      <c r="H73" s="1474"/>
      <c r="I73" s="1514">
        <v>-3250.5172455138527</v>
      </c>
      <c r="J73" s="1516">
        <v>187105.30855117322</v>
      </c>
      <c r="K73" s="1516">
        <v>179098.91415844913</v>
      </c>
      <c r="L73" s="1514">
        <v>8006.3943927240907</v>
      </c>
      <c r="M73" s="1514"/>
      <c r="N73" s="1515">
        <v>0</v>
      </c>
      <c r="O73" s="1515">
        <v>0</v>
      </c>
      <c r="P73" s="1515">
        <v>0</v>
      </c>
      <c r="Q73" s="1514">
        <v>1568.334009121128</v>
      </c>
      <c r="R73" s="1517">
        <v>6324.2111563313665</v>
      </c>
      <c r="S73" s="1528" t="s">
        <v>101</v>
      </c>
      <c r="T73" s="1519">
        <v>191842.05284100783</v>
      </c>
      <c r="U73"/>
      <c r="V73" s="1477">
        <v>4755.877147210238</v>
      </c>
      <c r="W73" t="s">
        <v>737</v>
      </c>
    </row>
    <row r="74" spans="1:23" ht="17.25" customHeight="1">
      <c r="A74" s="1478" t="s">
        <v>738</v>
      </c>
      <c r="B74" s="1469" t="s">
        <v>628</v>
      </c>
      <c r="C74" s="1472" t="s">
        <v>787</v>
      </c>
      <c r="D74" s="1470">
        <v>2016</v>
      </c>
      <c r="E74" s="1514">
        <v>146372.83688773448</v>
      </c>
      <c r="F74" s="1515">
        <v>0</v>
      </c>
      <c r="G74" s="1515">
        <v>146372.83688773448</v>
      </c>
      <c r="H74" s="1474"/>
      <c r="I74" s="1514">
        <v>-2289.2974697518221</v>
      </c>
      <c r="J74" s="1516">
        <v>117334.50928516098</v>
      </c>
      <c r="K74" s="1516">
        <v>112313.66640000674</v>
      </c>
      <c r="L74" s="1514">
        <v>5020.8428851542412</v>
      </c>
      <c r="M74" s="1514"/>
      <c r="N74" s="1515">
        <v>0</v>
      </c>
      <c r="O74" s="1515">
        <v>0</v>
      </c>
      <c r="P74" s="1515">
        <v>0</v>
      </c>
      <c r="Q74" s="1514">
        <v>900.77507047200766</v>
      </c>
      <c r="R74" s="1517">
        <v>3632.3204858744266</v>
      </c>
      <c r="S74" s="1528" t="s">
        <v>101</v>
      </c>
      <c r="T74" s="1519">
        <v>150005.1573736089</v>
      </c>
      <c r="U74"/>
      <c r="V74" s="1477">
        <v>2731.5454154024192</v>
      </c>
      <c r="W74" t="s">
        <v>738</v>
      </c>
    </row>
    <row r="75" spans="1:23" ht="17.25" customHeight="1">
      <c r="A75" s="1478" t="s">
        <v>739</v>
      </c>
      <c r="B75" s="1469" t="s">
        <v>628</v>
      </c>
      <c r="C75" s="1472" t="s">
        <v>788</v>
      </c>
      <c r="D75" s="1470">
        <v>2016</v>
      </c>
      <c r="E75" s="1514">
        <v>2998963.2086355863</v>
      </c>
      <c r="F75" s="1515">
        <v>0</v>
      </c>
      <c r="G75" s="1515">
        <v>2998963.2086355863</v>
      </c>
      <c r="H75" s="1474"/>
      <c r="I75" s="1514">
        <v>-31514.290189918131</v>
      </c>
      <c r="J75" s="1516">
        <v>2391381.3610540098</v>
      </c>
      <c r="K75" s="1516">
        <v>2289052.1301611769</v>
      </c>
      <c r="L75" s="1514">
        <v>102329.23089283286</v>
      </c>
      <c r="M75" s="1514"/>
      <c r="N75" s="1515">
        <v>0</v>
      </c>
      <c r="O75" s="1515">
        <v>0</v>
      </c>
      <c r="P75" s="1515">
        <v>0</v>
      </c>
      <c r="Q75" s="1514">
        <v>23352.470305803636</v>
      </c>
      <c r="R75" s="1517">
        <v>94167.411008718365</v>
      </c>
      <c r="S75" s="1528" t="s">
        <v>101</v>
      </c>
      <c r="T75" s="1519">
        <v>3093130.6196443047</v>
      </c>
      <c r="U75"/>
      <c r="V75" s="1477">
        <v>70814.940702914726</v>
      </c>
      <c r="W75" t="s">
        <v>739</v>
      </c>
    </row>
    <row r="76" spans="1:23" ht="17.25" customHeight="1">
      <c r="A76" s="1478" t="s">
        <v>740</v>
      </c>
      <c r="B76" s="1469" t="s">
        <v>628</v>
      </c>
      <c r="C76" s="1472" t="s">
        <v>789</v>
      </c>
      <c r="D76" s="1470">
        <v>2017</v>
      </c>
      <c r="E76" s="1514">
        <v>1930283.6532047233</v>
      </c>
      <c r="F76" s="1515">
        <v>0</v>
      </c>
      <c r="G76" s="1515">
        <v>1930283.6532047233</v>
      </c>
      <c r="H76" s="1474"/>
      <c r="I76" s="1514">
        <v>-1110025.8107214682</v>
      </c>
      <c r="J76" s="1516">
        <v>2289489.7247243077</v>
      </c>
      <c r="K76" s="1516">
        <v>2191520.5231224261</v>
      </c>
      <c r="L76" s="1514">
        <v>97969.201601881534</v>
      </c>
      <c r="M76" s="1514"/>
      <c r="N76" s="1515">
        <v>0</v>
      </c>
      <c r="O76" s="1515">
        <v>0</v>
      </c>
      <c r="P76" s="1515">
        <v>0</v>
      </c>
      <c r="Q76" s="1514">
        <v>-333743.43998122838</v>
      </c>
      <c r="R76" s="1517">
        <v>-1345800.0491008151</v>
      </c>
      <c r="S76" s="1528" t="s">
        <v>101</v>
      </c>
      <c r="T76" s="1519">
        <v>584483.60410390818</v>
      </c>
      <c r="U76"/>
      <c r="V76" s="1477">
        <v>-1012056.6091195866</v>
      </c>
      <c r="W76" t="s">
        <v>740</v>
      </c>
    </row>
    <row r="77" spans="1:23" ht="17.25" customHeight="1">
      <c r="A77" s="1478" t="s">
        <v>776</v>
      </c>
      <c r="B77" s="1469" t="s">
        <v>628</v>
      </c>
      <c r="C77" s="1472" t="s">
        <v>784</v>
      </c>
      <c r="D77" s="1470">
        <v>2016</v>
      </c>
      <c r="E77" s="1514">
        <v>12000241.353079228</v>
      </c>
      <c r="F77" s="1515">
        <v>0</v>
      </c>
      <c r="G77" s="1515">
        <v>12000241.353079228</v>
      </c>
      <c r="H77" s="1474"/>
      <c r="I77" s="1514">
        <v>-577321.83453409187</v>
      </c>
      <c r="J77" s="1516">
        <v>19228049.23199895</v>
      </c>
      <c r="K77" s="1516">
        <v>18405264.743701041</v>
      </c>
      <c r="L77" s="1514">
        <v>822784.4882979095</v>
      </c>
      <c r="M77" s="1514"/>
      <c r="N77" s="1515">
        <v>0</v>
      </c>
      <c r="O77" s="1515">
        <v>0</v>
      </c>
      <c r="P77" s="1515">
        <v>0</v>
      </c>
      <c r="Q77" s="1514">
        <v>80945.620744795408</v>
      </c>
      <c r="R77" s="1517">
        <v>326408.27450861305</v>
      </c>
      <c r="S77" s="1528" t="s">
        <v>101</v>
      </c>
      <c r="T77" s="1519">
        <v>12326649.62758784</v>
      </c>
      <c r="U77"/>
      <c r="V77" s="1477">
        <v>245462.65376381762</v>
      </c>
      <c r="W77" t="s">
        <v>776</v>
      </c>
    </row>
    <row r="78" spans="1:23" ht="17.25" customHeight="1">
      <c r="A78" s="1478" t="s">
        <v>777</v>
      </c>
      <c r="B78" s="1469" t="s">
        <v>628</v>
      </c>
      <c r="C78" s="1472" t="s">
        <v>790</v>
      </c>
      <c r="D78" s="1470">
        <v>2016</v>
      </c>
      <c r="E78" s="1514">
        <v>7045425.6596875265</v>
      </c>
      <c r="F78" s="1515">
        <v>0</v>
      </c>
      <c r="G78" s="1515">
        <v>7045425.6596875265</v>
      </c>
      <c r="H78" s="1474"/>
      <c r="I78" s="1514">
        <v>498953.5645983424</v>
      </c>
      <c r="J78" s="1516">
        <v>4553761.5622253697</v>
      </c>
      <c r="K78" s="1516">
        <v>4358902.2537433114</v>
      </c>
      <c r="L78" s="1514">
        <v>194859.30848205835</v>
      </c>
      <c r="M78" s="1514"/>
      <c r="N78" s="1515">
        <v>0</v>
      </c>
      <c r="O78" s="1515">
        <v>0</v>
      </c>
      <c r="P78" s="1515">
        <v>0</v>
      </c>
      <c r="Q78" s="1514">
        <v>228796.97921892753</v>
      </c>
      <c r="R78" s="1517">
        <v>922609.85229932831</v>
      </c>
      <c r="S78" s="1528" t="s">
        <v>101</v>
      </c>
      <c r="T78" s="1519">
        <v>7968035.5119868545</v>
      </c>
      <c r="U78"/>
      <c r="V78" s="1477">
        <v>693812.87308040075</v>
      </c>
      <c r="W78" t="s">
        <v>777</v>
      </c>
    </row>
    <row r="79" spans="1:23" ht="17.25" customHeight="1">
      <c r="A79" s="1478" t="s">
        <v>778</v>
      </c>
      <c r="B79" s="1469" t="s">
        <v>628</v>
      </c>
      <c r="C79" s="1472" t="s">
        <v>791</v>
      </c>
      <c r="D79" s="1470">
        <v>2017</v>
      </c>
      <c r="E79" s="1514">
        <v>143682.26542811285</v>
      </c>
      <c r="F79" s="1515">
        <v>0</v>
      </c>
      <c r="G79" s="1515">
        <v>143682.26542811285</v>
      </c>
      <c r="H79" s="1474"/>
      <c r="I79" s="1514">
        <v>3144.7603026794095</v>
      </c>
      <c r="J79" s="1516">
        <v>86331.834002984833</v>
      </c>
      <c r="K79" s="1516">
        <v>82637.621812922676</v>
      </c>
      <c r="L79" s="1514">
        <v>3694.2121900621569</v>
      </c>
      <c r="M79" s="1514"/>
      <c r="N79" s="1515">
        <v>0</v>
      </c>
      <c r="O79" s="1515">
        <v>0</v>
      </c>
      <c r="P79" s="1515">
        <v>0</v>
      </c>
      <c r="Q79" s="1514">
        <v>2255.2712813665016</v>
      </c>
      <c r="R79" s="1517">
        <v>9094.2437741080685</v>
      </c>
      <c r="S79" s="1528" t="s">
        <v>101</v>
      </c>
      <c r="T79" s="1519">
        <v>152776.50920222091</v>
      </c>
      <c r="U79"/>
      <c r="V79" s="1477">
        <v>6838.9724927415664</v>
      </c>
      <c r="W79" t="s">
        <v>778</v>
      </c>
    </row>
    <row r="80" spans="1:23" ht="17.25" customHeight="1">
      <c r="A80" s="1478" t="s">
        <v>779</v>
      </c>
      <c r="B80" s="1469" t="s">
        <v>628</v>
      </c>
      <c r="C80" s="1472" t="s">
        <v>792</v>
      </c>
      <c r="D80" s="1470">
        <v>2017</v>
      </c>
      <c r="E80" s="1514">
        <v>674439.95940734586</v>
      </c>
      <c r="F80" s="1515">
        <v>0</v>
      </c>
      <c r="G80" s="1515">
        <v>674439.95940734586</v>
      </c>
      <c r="H80" s="1474"/>
      <c r="I80" s="1514">
        <v>-109391.37823014284</v>
      </c>
      <c r="J80" s="1516">
        <v>341200.03757960664</v>
      </c>
      <c r="K80" s="1516">
        <v>326599.79940984101</v>
      </c>
      <c r="L80" s="1514">
        <v>14600.238169765624</v>
      </c>
      <c r="M80" s="1514"/>
      <c r="N80" s="1515">
        <v>0</v>
      </c>
      <c r="O80" s="1515">
        <v>0</v>
      </c>
      <c r="P80" s="1515">
        <v>0</v>
      </c>
      <c r="Q80" s="1514">
        <v>-31259.043099391045</v>
      </c>
      <c r="R80" s="1517">
        <v>-126050.18315976826</v>
      </c>
      <c r="S80" s="1528" t="s">
        <v>101</v>
      </c>
      <c r="T80" s="1519">
        <v>548389.77624757763</v>
      </c>
      <c r="U80"/>
      <c r="V80" s="1477">
        <v>-94791.14006037722</v>
      </c>
      <c r="W80" t="s">
        <v>779</v>
      </c>
    </row>
    <row r="81" spans="1:23" ht="17.25" customHeight="1">
      <c r="A81" s="1478" t="s">
        <v>780</v>
      </c>
      <c r="B81" s="1469" t="s">
        <v>628</v>
      </c>
      <c r="C81" s="1472" t="s">
        <v>793</v>
      </c>
      <c r="D81" s="1470">
        <v>2017</v>
      </c>
      <c r="E81" s="1514">
        <v>1943239.316593061</v>
      </c>
      <c r="F81" s="1515">
        <v>0</v>
      </c>
      <c r="G81" s="1515">
        <v>1943239.316593061</v>
      </c>
      <c r="H81" s="1474"/>
      <c r="I81" s="1514">
        <v>427916.52451327303</v>
      </c>
      <c r="J81" s="1516">
        <v>801460.7999645879</v>
      </c>
      <c r="K81" s="1516">
        <v>767165.61451788712</v>
      </c>
      <c r="L81" s="1514">
        <v>34295.18544670078</v>
      </c>
      <c r="M81" s="1514"/>
      <c r="N81" s="1515">
        <v>0</v>
      </c>
      <c r="O81" s="1515">
        <v>0</v>
      </c>
      <c r="P81" s="1515">
        <v>0</v>
      </c>
      <c r="Q81" s="1514">
        <v>152422.42844087761</v>
      </c>
      <c r="R81" s="1517">
        <v>614634.1384008514</v>
      </c>
      <c r="S81" s="1528" t="s">
        <v>101</v>
      </c>
      <c r="T81" s="1519">
        <v>2557873.4549939125</v>
      </c>
      <c r="U81"/>
      <c r="V81" s="1477">
        <v>462211.70995997381</v>
      </c>
      <c r="W81" t="s">
        <v>780</v>
      </c>
    </row>
    <row r="82" spans="1:23" ht="17.25" customHeight="1">
      <c r="A82" s="1478" t="s">
        <v>781</v>
      </c>
      <c r="B82" s="1469" t="s">
        <v>628</v>
      </c>
      <c r="C82" s="1472" t="s">
        <v>794</v>
      </c>
      <c r="D82" s="1470">
        <v>2017</v>
      </c>
      <c r="E82" s="1514">
        <v>224690.87246050825</v>
      </c>
      <c r="F82" s="1515">
        <v>0</v>
      </c>
      <c r="G82" s="1515">
        <v>224690.87246050825</v>
      </c>
      <c r="H82" s="1474"/>
      <c r="I82" s="1514">
        <v>34621.261086056329</v>
      </c>
      <c r="J82" s="1516">
        <v>113671.39959306066</v>
      </c>
      <c r="K82" s="1516">
        <v>108807.30426961841</v>
      </c>
      <c r="L82" s="1514">
        <v>4864.0953234422486</v>
      </c>
      <c r="M82" s="1514"/>
      <c r="N82" s="1515">
        <v>0</v>
      </c>
      <c r="O82" s="1515">
        <v>0</v>
      </c>
      <c r="P82" s="1515">
        <v>0</v>
      </c>
      <c r="Q82" s="1514">
        <v>13020.989693901365</v>
      </c>
      <c r="R82" s="1517">
        <v>52506.346103399941</v>
      </c>
      <c r="S82" s="1528" t="s">
        <v>101</v>
      </c>
      <c r="T82" s="1519">
        <v>277197.21856390819</v>
      </c>
      <c r="U82"/>
      <c r="V82" s="1477">
        <v>39485.356409498578</v>
      </c>
      <c r="W82" t="s">
        <v>781</v>
      </c>
    </row>
    <row r="83" spans="1:23" ht="17.25" customHeight="1">
      <c r="A83" s="1478" t="s">
        <v>782</v>
      </c>
      <c r="B83" s="1469" t="s">
        <v>628</v>
      </c>
      <c r="C83" s="1472" t="s">
        <v>795</v>
      </c>
      <c r="D83" s="1470">
        <v>2017</v>
      </c>
      <c r="E83" s="1514">
        <v>786724.1719666298</v>
      </c>
      <c r="F83" s="1515">
        <v>0</v>
      </c>
      <c r="G83" s="1515">
        <v>786724.1719666298</v>
      </c>
      <c r="H83" s="1474"/>
      <c r="I83" s="1514">
        <v>68048.983203797136</v>
      </c>
      <c r="J83" s="1516">
        <v>398004.76424273284</v>
      </c>
      <c r="K83" s="1516">
        <v>380973.80377781921</v>
      </c>
      <c r="L83" s="1514">
        <v>17030.960464913631</v>
      </c>
      <c r="M83" s="1514"/>
      <c r="N83" s="1515">
        <v>0</v>
      </c>
      <c r="O83" s="1515">
        <v>0</v>
      </c>
      <c r="P83" s="1515">
        <v>0</v>
      </c>
      <c r="Q83" s="1514">
        <v>28056.605547100837</v>
      </c>
      <c r="R83" s="1517">
        <v>113136.5492158116</v>
      </c>
      <c r="S83" s="1528" t="s">
        <v>101</v>
      </c>
      <c r="T83" s="1519">
        <v>899860.72118244134</v>
      </c>
      <c r="U83"/>
      <c r="V83" s="1477">
        <v>85079.943668710766</v>
      </c>
      <c r="W83" t="s">
        <v>782</v>
      </c>
    </row>
    <row r="84" spans="1:23" ht="17.25" customHeight="1">
      <c r="A84" s="1478" t="s">
        <v>783</v>
      </c>
      <c r="B84" s="1469" t="s">
        <v>628</v>
      </c>
      <c r="C84" s="1472" t="s">
        <v>796</v>
      </c>
      <c r="D84" s="1470">
        <v>2017</v>
      </c>
      <c r="E84" s="1514">
        <v>1110761.1474685038</v>
      </c>
      <c r="F84" s="1515">
        <v>0</v>
      </c>
      <c r="G84" s="1515">
        <v>1110761.1474685038</v>
      </c>
      <c r="H84" s="1474"/>
      <c r="I84" s="1514">
        <v>97867.272664736956</v>
      </c>
      <c r="J84" s="1516">
        <v>720921.93663194391</v>
      </c>
      <c r="K84" s="1516">
        <v>690073.0772610557</v>
      </c>
      <c r="L84" s="1514">
        <v>30848.859370888211</v>
      </c>
      <c r="M84" s="1514"/>
      <c r="N84" s="1515">
        <v>0</v>
      </c>
      <c r="O84" s="1515">
        <v>0</v>
      </c>
      <c r="P84" s="1515">
        <v>0</v>
      </c>
      <c r="Q84" s="1514">
        <v>42446.404973352146</v>
      </c>
      <c r="R84" s="1517">
        <v>171162.53700897732</v>
      </c>
      <c r="S84" s="1528" t="s">
        <v>101</v>
      </c>
      <c r="T84" s="1519">
        <v>1281923.6844774811</v>
      </c>
      <c r="U84"/>
      <c r="V84" s="1477">
        <v>128716.13203562517</v>
      </c>
      <c r="W84" t="s">
        <v>783</v>
      </c>
    </row>
    <row r="85" spans="1:23" ht="17.25" customHeight="1">
      <c r="A85" s="1478" t="s">
        <v>1455</v>
      </c>
      <c r="B85" s="1469" t="s">
        <v>628</v>
      </c>
      <c r="C85" s="1472" t="s">
        <v>1454</v>
      </c>
      <c r="D85" s="1470">
        <v>2018</v>
      </c>
      <c r="E85" s="1514">
        <v>1201710.8735333886</v>
      </c>
      <c r="F85" s="1515">
        <v>0</v>
      </c>
      <c r="G85" s="1515">
        <v>1201710.8735333886</v>
      </c>
      <c r="H85" s="1474"/>
      <c r="I85" s="1514">
        <v>0</v>
      </c>
      <c r="J85" s="1516"/>
      <c r="K85" s="1516">
        <v>0</v>
      </c>
      <c r="L85" s="1514">
        <v>0</v>
      </c>
      <c r="M85" s="1514"/>
      <c r="N85" s="1515">
        <v>0</v>
      </c>
      <c r="O85" s="1515">
        <v>0</v>
      </c>
      <c r="P85" s="1515">
        <v>0</v>
      </c>
      <c r="Q85" s="1514">
        <v>0</v>
      </c>
      <c r="R85" s="1517">
        <v>0</v>
      </c>
      <c r="S85" s="1528" t="s">
        <v>101</v>
      </c>
      <c r="T85" s="1519">
        <v>1201710.8735333886</v>
      </c>
      <c r="U85"/>
      <c r="V85" s="1477">
        <v>0</v>
      </c>
      <c r="W85" t="s">
        <v>1455</v>
      </c>
    </row>
    <row r="86" spans="1:23" ht="17.25" customHeight="1">
      <c r="A86" s="1478" t="s">
        <v>1453</v>
      </c>
      <c r="B86" s="1469" t="s">
        <v>628</v>
      </c>
      <c r="C86" s="1472" t="s">
        <v>1452</v>
      </c>
      <c r="D86" s="1470">
        <v>2018</v>
      </c>
      <c r="E86" s="1514">
        <v>1126380.2677829904</v>
      </c>
      <c r="F86" s="1515">
        <v>0</v>
      </c>
      <c r="G86" s="1515">
        <v>1126380.2677829904</v>
      </c>
      <c r="H86" s="1474"/>
      <c r="I86" s="1514">
        <v>0</v>
      </c>
      <c r="J86" s="1516"/>
      <c r="K86" s="1516">
        <v>0</v>
      </c>
      <c r="L86" s="1514">
        <v>0</v>
      </c>
      <c r="M86" s="1514"/>
      <c r="N86" s="1515">
        <v>0</v>
      </c>
      <c r="O86" s="1515">
        <v>0</v>
      </c>
      <c r="P86" s="1515">
        <v>0</v>
      </c>
      <c r="Q86" s="1514">
        <v>0</v>
      </c>
      <c r="R86" s="1517">
        <v>0</v>
      </c>
      <c r="S86" s="1528" t="s">
        <v>101</v>
      </c>
      <c r="T86" s="1519">
        <v>1126380.2677829904</v>
      </c>
      <c r="U86"/>
      <c r="V86" s="1477">
        <v>0</v>
      </c>
      <c r="W86" t="s">
        <v>1453</v>
      </c>
    </row>
    <row r="87" spans="1:23" ht="17.25" customHeight="1">
      <c r="A87" s="1478" t="s">
        <v>1451</v>
      </c>
      <c r="B87" s="1469" t="s">
        <v>628</v>
      </c>
      <c r="C87" s="1472" t="s">
        <v>1450</v>
      </c>
      <c r="D87" s="1470">
        <v>2018</v>
      </c>
      <c r="E87" s="1514">
        <v>975391.78473337064</v>
      </c>
      <c r="F87" s="1515">
        <v>0</v>
      </c>
      <c r="G87" s="1515">
        <v>975391.78473337064</v>
      </c>
      <c r="H87" s="1474"/>
      <c r="I87" s="1514">
        <v>0</v>
      </c>
      <c r="J87" s="1516"/>
      <c r="K87" s="1516">
        <v>0</v>
      </c>
      <c r="L87" s="1514">
        <v>0</v>
      </c>
      <c r="M87" s="1514"/>
      <c r="N87" s="1515">
        <v>0</v>
      </c>
      <c r="O87" s="1515">
        <v>0</v>
      </c>
      <c r="P87" s="1515">
        <v>0</v>
      </c>
      <c r="Q87" s="1514">
        <v>0</v>
      </c>
      <c r="R87" s="1517">
        <v>0</v>
      </c>
      <c r="S87" s="1528" t="s">
        <v>101</v>
      </c>
      <c r="T87" s="1519">
        <v>975391.78473337064</v>
      </c>
      <c r="U87"/>
      <c r="V87" s="1477">
        <v>0</v>
      </c>
      <c r="W87" t="s">
        <v>1451</v>
      </c>
    </row>
    <row r="88" spans="1:23" ht="17.25" customHeight="1">
      <c r="A88" s="1478" t="s">
        <v>1449</v>
      </c>
      <c r="B88" s="1469" t="s">
        <v>628</v>
      </c>
      <c r="C88" s="1472" t="s">
        <v>1448</v>
      </c>
      <c r="D88" s="1470">
        <v>2018</v>
      </c>
      <c r="E88" s="1514">
        <v>211177.40142950087</v>
      </c>
      <c r="F88" s="1515">
        <v>0</v>
      </c>
      <c r="G88" s="1515">
        <v>211177.40142950087</v>
      </c>
      <c r="H88" s="1474"/>
      <c r="I88" s="1514">
        <v>0</v>
      </c>
      <c r="J88" s="1516"/>
      <c r="K88" s="1516">
        <v>0</v>
      </c>
      <c r="L88" s="1514">
        <v>0</v>
      </c>
      <c r="M88" s="1514"/>
      <c r="N88" s="1515">
        <v>0</v>
      </c>
      <c r="O88" s="1515">
        <v>0</v>
      </c>
      <c r="P88" s="1515">
        <v>0</v>
      </c>
      <c r="Q88" s="1514">
        <v>0</v>
      </c>
      <c r="R88" s="1517">
        <v>0</v>
      </c>
      <c r="S88" s="1528" t="s">
        <v>101</v>
      </c>
      <c r="T88" s="1519">
        <v>211177.40142950087</v>
      </c>
      <c r="U88"/>
      <c r="V88" s="1477">
        <v>0</v>
      </c>
      <c r="W88" t="s">
        <v>1449</v>
      </c>
    </row>
    <row r="89" spans="1:23" ht="17.25" customHeight="1">
      <c r="A89" s="1478" t="s">
        <v>1526</v>
      </c>
      <c r="B89" s="1469" t="s">
        <v>628</v>
      </c>
      <c r="C89" s="1472" t="s">
        <v>1525</v>
      </c>
      <c r="D89" s="1470">
        <v>2019</v>
      </c>
      <c r="E89" s="1514">
        <v>409378.65017252299</v>
      </c>
      <c r="F89" s="1515">
        <v>0</v>
      </c>
      <c r="G89" s="1515">
        <v>409378.65017252299</v>
      </c>
      <c r="H89" s="1474"/>
      <c r="I89" s="1514">
        <v>0</v>
      </c>
      <c r="J89" s="1516"/>
      <c r="K89" s="1516">
        <v>0</v>
      </c>
      <c r="L89" s="1514">
        <v>0</v>
      </c>
      <c r="M89" s="1514"/>
      <c r="N89" s="1515">
        <v>0</v>
      </c>
      <c r="O89" s="1515">
        <v>0</v>
      </c>
      <c r="P89" s="1515">
        <v>0</v>
      </c>
      <c r="Q89" s="1514">
        <v>0</v>
      </c>
      <c r="R89" s="1517">
        <v>0</v>
      </c>
      <c r="S89" s="1528" t="s">
        <v>101</v>
      </c>
      <c r="T89" s="1519">
        <v>409378.65017252299</v>
      </c>
      <c r="U89"/>
      <c r="V89" s="1477">
        <v>0</v>
      </c>
      <c r="W89" t="s">
        <v>1526</v>
      </c>
    </row>
    <row r="90" spans="1:23" ht="17.25" customHeight="1">
      <c r="A90" s="1478" t="s">
        <v>1528</v>
      </c>
      <c r="B90" s="1469" t="s">
        <v>628</v>
      </c>
      <c r="C90" s="1472" t="s">
        <v>1527</v>
      </c>
      <c r="D90" s="1470">
        <v>2019</v>
      </c>
      <c r="E90" s="1514">
        <v>198489.78665870789</v>
      </c>
      <c r="F90" s="1515">
        <v>0</v>
      </c>
      <c r="G90" s="1515">
        <v>198489.78665870789</v>
      </c>
      <c r="H90" s="1474"/>
      <c r="I90" s="1514">
        <v>0</v>
      </c>
      <c r="J90" s="1516"/>
      <c r="K90" s="1516">
        <v>0</v>
      </c>
      <c r="L90" s="1514">
        <v>0</v>
      </c>
      <c r="M90" s="1514"/>
      <c r="N90" s="1515">
        <v>0</v>
      </c>
      <c r="O90" s="1515">
        <v>0</v>
      </c>
      <c r="P90" s="1515">
        <v>0</v>
      </c>
      <c r="Q90" s="1514">
        <v>0</v>
      </c>
      <c r="R90" s="1517">
        <v>0</v>
      </c>
      <c r="S90" s="1528" t="s">
        <v>101</v>
      </c>
      <c r="T90" s="1519">
        <v>198489.78665870789</v>
      </c>
      <c r="U90"/>
      <c r="V90" s="1477">
        <v>0</v>
      </c>
      <c r="W90" t="s">
        <v>1528</v>
      </c>
    </row>
    <row r="91" spans="1:23" ht="17.25" customHeight="1">
      <c r="A91" s="1478"/>
      <c r="B91" s="1469"/>
      <c r="C91" s="1472"/>
      <c r="D91" s="1470"/>
      <c r="E91" s="1514"/>
      <c r="F91" s="1515"/>
      <c r="G91" s="1515"/>
      <c r="H91" s="1474"/>
      <c r="I91" s="1514"/>
      <c r="J91" s="1516"/>
      <c r="K91" s="1516"/>
      <c r="L91" s="1514"/>
      <c r="M91" s="1514"/>
      <c r="N91" s="1515"/>
      <c r="O91" s="1515"/>
      <c r="P91" s="1515"/>
      <c r="Q91" s="1514"/>
      <c r="R91" s="1517"/>
      <c r="S91" s="1528"/>
      <c r="T91" s="1519"/>
      <c r="U91"/>
      <c r="V91" s="1477"/>
      <c r="W91"/>
    </row>
    <row r="92" spans="1:23" ht="17.25" customHeight="1">
      <c r="A92" s="1478"/>
      <c r="B92" s="1469"/>
      <c r="C92" s="1471"/>
      <c r="D92" s="1469"/>
      <c r="E92" s="1531"/>
      <c r="F92" s="1531"/>
      <c r="G92" s="1531"/>
      <c r="H92" s="1517"/>
      <c r="I92" s="1531"/>
      <c r="J92" s="1531"/>
      <c r="K92" s="1531"/>
      <c r="L92" s="1531"/>
      <c r="M92" s="1531"/>
      <c r="N92" s="1531"/>
      <c r="O92" s="1531"/>
      <c r="P92" s="1531"/>
      <c r="Q92" s="1531"/>
      <c r="R92" s="1531"/>
      <c r="S92" s="1517"/>
      <c r="T92" s="1532"/>
      <c r="U92"/>
      <c r="V92" s="1475"/>
      <c r="W92"/>
    </row>
    <row r="93" spans="1:23">
      <c r="A93" s="1471"/>
      <c r="B93" s="1471"/>
      <c r="C93" s="1473" t="s">
        <v>741</v>
      </c>
      <c r="D93" s="1469"/>
      <c r="E93" s="1517">
        <v>79371230.720164105</v>
      </c>
      <c r="F93" s="1517">
        <v>0</v>
      </c>
      <c r="G93" s="1517">
        <v>79371230.720164105</v>
      </c>
      <c r="H93" s="1517"/>
      <c r="I93" s="1517">
        <v>-285430</v>
      </c>
      <c r="J93" s="1517">
        <v>84452178.125385895</v>
      </c>
      <c r="K93" s="1516">
        <v>80838398</v>
      </c>
      <c r="L93" s="1517">
        <v>3613780.1253859019</v>
      </c>
      <c r="M93" s="1517"/>
      <c r="N93" s="1517">
        <v>0</v>
      </c>
      <c r="O93" s="1517">
        <v>0</v>
      </c>
      <c r="P93" s="1517">
        <v>0</v>
      </c>
      <c r="Q93" s="1516">
        <v>1097582</v>
      </c>
      <c r="R93" s="1517">
        <v>4425932.415556252</v>
      </c>
      <c r="S93" s="1517"/>
      <c r="T93" s="1533">
        <v>83797163.135720342</v>
      </c>
      <c r="U93"/>
      <c r="V93" s="1476">
        <v>3328350.4155562511</v>
      </c>
      <c r="W93" s="1504" t="s">
        <v>1447</v>
      </c>
    </row>
    <row r="94" spans="1:23" ht="13.5" thickBot="1">
      <c r="A94" s="1448"/>
      <c r="B94" s="1448"/>
      <c r="C94" s="1422"/>
      <c r="D94" s="1448"/>
      <c r="E94" s="1421" t="s">
        <v>375</v>
      </c>
      <c r="F94" s="1426"/>
      <c r="G94" s="1426"/>
      <c r="H94" s="1448"/>
      <c r="I94" s="1419"/>
      <c r="J94" s="1421"/>
      <c r="K94" s="1417" t="s">
        <v>375</v>
      </c>
      <c r="L94" s="1416"/>
      <c r="M94" s="1416"/>
      <c r="N94" s="1416"/>
      <c r="O94" s="1416"/>
      <c r="P94" s="1416"/>
      <c r="Q94" s="1417" t="s">
        <v>375</v>
      </c>
      <c r="R94" s="1426"/>
      <c r="S94" s="1426"/>
      <c r="T94" s="1426"/>
      <c r="V94" s="1415"/>
      <c r="W94" s="1423"/>
    </row>
    <row r="95" spans="1:23">
      <c r="A95" s="1448"/>
      <c r="B95" s="1448"/>
      <c r="C95" s="1414" t="s">
        <v>1446</v>
      </c>
      <c r="D95" s="1448"/>
      <c r="E95" s="1426"/>
      <c r="F95" s="1426"/>
      <c r="G95" s="1426"/>
      <c r="H95" s="1448"/>
      <c r="I95" s="1413"/>
      <c r="J95" s="1413"/>
      <c r="K95" s="1416"/>
      <c r="L95" s="1448"/>
      <c r="M95" s="1448"/>
      <c r="N95" s="1416"/>
      <c r="O95" s="1416"/>
      <c r="P95" s="1416"/>
      <c r="Q95" s="1416"/>
      <c r="R95" s="1426"/>
      <c r="S95" s="1426"/>
      <c r="T95" s="1426"/>
    </row>
    <row r="96" spans="1:23">
      <c r="A96" s="1448"/>
      <c r="B96" s="1448"/>
      <c r="C96" s="1414"/>
      <c r="D96" s="1448"/>
      <c r="E96" s="1426"/>
      <c r="F96" s="1426"/>
      <c r="G96" s="1426"/>
      <c r="H96" s="1448"/>
      <c r="I96" s="1411"/>
      <c r="J96" s="1411"/>
      <c r="K96" s="1427"/>
      <c r="L96" s="1448"/>
      <c r="M96" s="1448"/>
      <c r="N96" s="1416"/>
      <c r="O96" s="1416"/>
      <c r="P96" s="1416"/>
      <c r="Q96" s="1389"/>
      <c r="R96" s="1416"/>
      <c r="S96" s="1448"/>
      <c r="T96" s="1448"/>
    </row>
    <row r="97" spans="1:22">
      <c r="E97" s="1410"/>
      <c r="F97" s="1410"/>
      <c r="G97" s="1410"/>
      <c r="I97" s="1410"/>
      <c r="K97" s="1410"/>
      <c r="N97" s="1408"/>
      <c r="O97" s="1408"/>
      <c r="P97" s="1408"/>
      <c r="Q97" s="1408"/>
      <c r="R97" s="1408"/>
    </row>
    <row r="98" spans="1:22">
      <c r="E98" s="1410"/>
      <c r="F98" s="1410"/>
      <c r="G98" s="1410"/>
      <c r="K98" s="1388"/>
      <c r="V98" s="1457" t="s">
        <v>1445</v>
      </c>
    </row>
    <row r="99" spans="1:22">
      <c r="A99" s="1406" t="s">
        <v>1444</v>
      </c>
      <c r="B99" s="1405"/>
      <c r="C99" s="1405"/>
      <c r="D99" s="1405"/>
      <c r="E99" s="1404"/>
      <c r="F99" s="1404"/>
      <c r="G99" s="1404"/>
      <c r="H99" s="1405"/>
      <c r="I99" s="1405"/>
      <c r="J99" s="1405"/>
      <c r="K99" s="1405"/>
      <c r="L99" s="1405"/>
      <c r="M99" s="1405"/>
      <c r="N99" s="1405"/>
      <c r="O99" s="1403"/>
      <c r="V99" s="1457" t="s">
        <v>1443</v>
      </c>
    </row>
    <row r="100" spans="1:22" ht="15.75">
      <c r="A100" s="1402" t="s">
        <v>1442</v>
      </c>
      <c r="B100" s="1424"/>
      <c r="C100" s="1401" t="s">
        <v>1441</v>
      </c>
      <c r="D100" s="1401" t="s">
        <v>1440</v>
      </c>
      <c r="E100" s="1401" t="s">
        <v>1439</v>
      </c>
      <c r="F100" s="1401" t="s">
        <v>1438</v>
      </c>
      <c r="G100" s="1424"/>
      <c r="H100" s="1458"/>
      <c r="I100" s="1401" t="s">
        <v>1437</v>
      </c>
      <c r="J100" s="1401"/>
      <c r="K100" s="1424"/>
      <c r="L100" s="1424"/>
      <c r="M100" s="1424"/>
      <c r="N100" s="1401" t="s">
        <v>1436</v>
      </c>
      <c r="O100" s="1400" t="s">
        <v>1435</v>
      </c>
      <c r="P100" s="1429" t="s">
        <v>1434</v>
      </c>
      <c r="V100" s="1457" t="s">
        <v>1433</v>
      </c>
    </row>
    <row r="101" spans="1:22">
      <c r="A101" s="1399" t="s">
        <v>1432</v>
      </c>
      <c r="B101" s="1398"/>
      <c r="C101" s="1398"/>
      <c r="D101" s="1398"/>
      <c r="E101" s="1397"/>
      <c r="F101" s="1397"/>
      <c r="G101" s="1397"/>
      <c r="H101" s="1398"/>
      <c r="I101" s="1398"/>
      <c r="J101" s="1398"/>
      <c r="K101" s="1398"/>
      <c r="L101" s="1398"/>
      <c r="M101" s="1398"/>
      <c r="N101" s="1398"/>
      <c r="O101" s="1396"/>
      <c r="V101" s="1457" t="s">
        <v>1431</v>
      </c>
    </row>
    <row r="102" spans="1:22">
      <c r="E102" s="1410"/>
      <c r="F102" s="1410"/>
      <c r="G102" s="1410"/>
      <c r="V102" s="1394" t="s">
        <v>1430</v>
      </c>
    </row>
    <row r="103" spans="1:22">
      <c r="E103" s="1410"/>
      <c r="F103" s="1410"/>
      <c r="G103" s="1410"/>
    </row>
    <row r="104" spans="1:22">
      <c r="E104" s="1410"/>
      <c r="F104" s="1410"/>
      <c r="G104" s="1410"/>
      <c r="J104" s="1412"/>
      <c r="K104" s="1412"/>
    </row>
    <row r="105" spans="1:22">
      <c r="E105" s="1410"/>
      <c r="F105" s="1410"/>
      <c r="G105" s="1410"/>
    </row>
    <row r="106" spans="1:22">
      <c r="E106" s="1410"/>
      <c r="F106" s="1410"/>
      <c r="G106" s="1410"/>
    </row>
    <row r="107" spans="1:22">
      <c r="E107" s="1410"/>
      <c r="F107" s="1410"/>
      <c r="G107" s="1410"/>
    </row>
    <row r="108" spans="1:22">
      <c r="E108" s="1410"/>
      <c r="F108" s="1410"/>
      <c r="G108" s="1410"/>
    </row>
    <row r="109" spans="1:22">
      <c r="E109" s="1410"/>
      <c r="F109" s="1410"/>
      <c r="G109" s="1410"/>
    </row>
    <row r="110" spans="1:22">
      <c r="E110" s="1410"/>
      <c r="F110" s="1410"/>
      <c r="G110" s="1410"/>
    </row>
    <row r="111" spans="1:22">
      <c r="E111" s="1410"/>
      <c r="F111" s="1410"/>
      <c r="G111" s="1410"/>
    </row>
    <row r="112" spans="1:22">
      <c r="E112" s="1410"/>
      <c r="F112" s="1410"/>
      <c r="G112" s="1410"/>
    </row>
    <row r="113" spans="5:7">
      <c r="E113" s="1410"/>
      <c r="F113" s="1410"/>
      <c r="G113" s="1410"/>
    </row>
    <row r="114" spans="5:7">
      <c r="E114" s="1410"/>
      <c r="F114" s="1410"/>
      <c r="G114" s="1410"/>
    </row>
    <row r="115" spans="5:7">
      <c r="E115" s="1410"/>
      <c r="F115" s="1410"/>
      <c r="G115" s="1410"/>
    </row>
    <row r="116" spans="5:7">
      <c r="E116" s="1410"/>
      <c r="F116" s="1410"/>
      <c r="G116" s="1410"/>
    </row>
    <row r="117" spans="5:7">
      <c r="E117" s="1410"/>
      <c r="F117" s="1410"/>
      <c r="G117" s="1410"/>
    </row>
  </sheetData>
  <mergeCells count="2">
    <mergeCell ref="E13:G13"/>
    <mergeCell ref="T14:T16"/>
  </mergeCells>
  <pageMargins left="0.5" right="0.5" top="1" bottom="1" header="0.65" footer="0.5"/>
  <pageSetup scale="53" fitToHeight="0" orientation="landscape" r:id="rId1"/>
  <headerFooter alignWithMargins="0">
    <oddHeader xml:space="preserve">&amp;R&amp;16AEP - SPP Formula Rate
Schedule 11 Revenue Requirements
Southwestern Electric Power Company
Page: &amp;P of &amp;N
</oddHeader>
    <oddFooter>&amp;L&amp;A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T68"/>
  <sheetViews>
    <sheetView topLeftCell="E1" zoomScale="70" zoomScaleNormal="70" zoomScalePageLayoutView="80" workbookViewId="0">
      <selection activeCell="O34" sqref="O34"/>
    </sheetView>
  </sheetViews>
  <sheetFormatPr defaultRowHeight="12.75"/>
  <cols>
    <col min="1" max="1" width="8" style="783" customWidth="1"/>
    <col min="2" max="2" width="5.85546875" style="785" customWidth="1"/>
    <col min="3" max="3" width="4.85546875" style="785" customWidth="1"/>
    <col min="4" max="4" width="44.42578125" style="785" customWidth="1"/>
    <col min="5" max="5" width="14.42578125" style="785" customWidth="1"/>
    <col min="6" max="7" width="11.28515625" style="785" customWidth="1"/>
    <col min="8" max="8" width="10.85546875" style="785" customWidth="1"/>
    <col min="9" max="9" width="11.85546875" style="785" customWidth="1"/>
    <col min="10" max="10" width="11.140625" style="785" customWidth="1"/>
    <col min="11" max="11" width="11.28515625" style="785" customWidth="1"/>
    <col min="12" max="12" width="11.140625" style="785" customWidth="1"/>
    <col min="13" max="13" width="12.5703125" style="785" customWidth="1"/>
    <col min="14" max="14" width="11.85546875" style="785" customWidth="1"/>
    <col min="15" max="15" width="11.5703125" style="785" customWidth="1"/>
    <col min="16" max="16" width="12.28515625" style="785" customWidth="1"/>
    <col min="17" max="17" width="11.7109375" style="785" customWidth="1"/>
    <col min="18" max="18" width="18.140625" style="787" customWidth="1"/>
    <col min="19" max="16384" width="9.140625" style="785"/>
  </cols>
  <sheetData>
    <row r="1" spans="1:19">
      <c r="A1" s="785"/>
      <c r="B1" s="786" t="s">
        <v>752</v>
      </c>
      <c r="C1" s="786"/>
      <c r="D1" s="786"/>
      <c r="E1" s="786"/>
      <c r="F1" s="786"/>
      <c r="G1" s="786"/>
      <c r="H1" s="786"/>
      <c r="I1" s="786"/>
      <c r="J1" s="786"/>
      <c r="K1" s="786"/>
      <c r="L1" s="786"/>
      <c r="M1" s="786"/>
      <c r="N1" s="786"/>
      <c r="O1" s="786"/>
      <c r="P1" s="786"/>
      <c r="Q1" s="786"/>
    </row>
    <row r="2" spans="1:19">
      <c r="A2" s="785"/>
      <c r="B2" s="786" t="str">
        <f>"Network Load for January Through December YYYY"</f>
        <v>Network Load for January Through December YYYY</v>
      </c>
      <c r="C2" s="786"/>
      <c r="D2" s="786"/>
      <c r="E2" s="786"/>
      <c r="F2" s="786"/>
      <c r="G2" s="786"/>
      <c r="H2" s="786"/>
      <c r="I2" s="786"/>
      <c r="J2" s="786"/>
      <c r="K2" s="786"/>
      <c r="L2" s="786"/>
      <c r="M2" s="786"/>
      <c r="N2" s="786"/>
      <c r="O2" s="786"/>
      <c r="P2" s="786"/>
      <c r="Q2" s="786"/>
    </row>
    <row r="3" spans="1:19">
      <c r="A3" s="785"/>
      <c r="B3" s="788" t="s">
        <v>775</v>
      </c>
      <c r="C3" s="789"/>
      <c r="D3" s="789"/>
      <c r="E3" s="789"/>
      <c r="F3" s="789"/>
      <c r="G3" s="789"/>
      <c r="H3" s="789"/>
      <c r="I3" s="789"/>
      <c r="J3" s="789"/>
      <c r="K3" s="789"/>
      <c r="L3" s="789"/>
      <c r="M3" s="789"/>
      <c r="N3" s="789"/>
      <c r="O3" s="789"/>
      <c r="P3" s="789"/>
      <c r="Q3" s="789"/>
    </row>
    <row r="4" spans="1:19">
      <c r="A4" s="785"/>
      <c r="B4" s="786"/>
      <c r="C4" s="789"/>
      <c r="D4" s="789"/>
      <c r="E4" s="789"/>
      <c r="F4" s="789"/>
      <c r="G4" s="789"/>
      <c r="H4" s="789"/>
      <c r="I4" s="789"/>
      <c r="J4" s="789"/>
      <c r="K4" s="789"/>
      <c r="L4" s="789"/>
      <c r="M4" s="789"/>
      <c r="N4" s="789"/>
      <c r="O4" s="789"/>
      <c r="P4" s="789"/>
      <c r="Q4" s="789"/>
    </row>
    <row r="5" spans="1:19" ht="14.25" customHeight="1">
      <c r="A5" s="785"/>
      <c r="B5" s="790" t="s">
        <v>772</v>
      </c>
      <c r="C5" s="789"/>
      <c r="D5" s="789"/>
      <c r="E5" s="789"/>
      <c r="F5" s="789"/>
      <c r="G5" s="789"/>
      <c r="H5" s="789"/>
      <c r="I5" s="789"/>
      <c r="J5" s="789"/>
      <c r="K5" s="789"/>
      <c r="L5" s="789"/>
      <c r="M5" s="789"/>
      <c r="N5" s="789"/>
      <c r="O5" s="789"/>
      <c r="P5" s="789"/>
      <c r="Q5" s="789"/>
    </row>
    <row r="6" spans="1:19" ht="14.25" customHeight="1">
      <c r="A6" s="785"/>
      <c r="B6" s="790"/>
      <c r="C6" s="789"/>
      <c r="D6" s="789"/>
      <c r="E6" s="789"/>
      <c r="F6" s="789"/>
      <c r="G6" s="789"/>
      <c r="H6" s="789"/>
      <c r="I6" s="789"/>
      <c r="J6" s="789"/>
      <c r="K6" s="789"/>
      <c r="L6" s="789"/>
      <c r="M6" s="789"/>
      <c r="N6" s="789"/>
      <c r="O6" s="789"/>
      <c r="P6" s="789"/>
      <c r="Q6" s="789"/>
    </row>
    <row r="7" spans="1:19" ht="11.45" customHeight="1">
      <c r="B7" s="791"/>
      <c r="C7" s="792" t="s">
        <v>753</v>
      </c>
      <c r="D7" s="791"/>
      <c r="E7" s="791"/>
      <c r="F7" s="791"/>
      <c r="G7" s="791"/>
      <c r="H7" s="791"/>
      <c r="I7" s="791"/>
      <c r="J7" s="791"/>
      <c r="K7" s="791"/>
      <c r="L7" s="791"/>
      <c r="M7" s="791"/>
      <c r="N7" s="791"/>
      <c r="O7" s="791"/>
      <c r="P7" s="791"/>
      <c r="Q7" s="791"/>
    </row>
    <row r="8" spans="1:19" ht="11.45" customHeight="1">
      <c r="B8" s="791"/>
      <c r="C8" s="792"/>
      <c r="D8" s="791"/>
      <c r="E8" s="793" t="s">
        <v>359</v>
      </c>
      <c r="F8" s="793" t="s">
        <v>568</v>
      </c>
      <c r="G8" s="793" t="s">
        <v>360</v>
      </c>
      <c r="H8" s="793" t="s">
        <v>361</v>
      </c>
      <c r="I8" s="793" t="s">
        <v>362</v>
      </c>
      <c r="J8" s="793" t="s">
        <v>62</v>
      </c>
      <c r="K8" s="793" t="s">
        <v>363</v>
      </c>
      <c r="L8" s="793" t="s">
        <v>364</v>
      </c>
      <c r="M8" s="793" t="s">
        <v>366</v>
      </c>
      <c r="N8" s="793" t="s">
        <v>569</v>
      </c>
      <c r="O8" s="793" t="s">
        <v>570</v>
      </c>
      <c r="P8" s="793" t="s">
        <v>365</v>
      </c>
    </row>
    <row r="9" spans="1:19" ht="11.45" customHeight="1">
      <c r="C9" s="783"/>
      <c r="D9" s="794" t="s">
        <v>742</v>
      </c>
      <c r="E9" s="795" t="s">
        <v>773</v>
      </c>
      <c r="F9" s="795" t="s">
        <v>773</v>
      </c>
      <c r="G9" s="795" t="s">
        <v>773</v>
      </c>
      <c r="H9" s="795" t="s">
        <v>773</v>
      </c>
      <c r="I9" s="795" t="s">
        <v>773</v>
      </c>
      <c r="J9" s="795" t="s">
        <v>773</v>
      </c>
      <c r="K9" s="795" t="s">
        <v>773</v>
      </c>
      <c r="L9" s="795" t="s">
        <v>773</v>
      </c>
      <c r="M9" s="795" t="s">
        <v>773</v>
      </c>
      <c r="N9" s="795" t="s">
        <v>773</v>
      </c>
      <c r="O9" s="795" t="s">
        <v>773</v>
      </c>
      <c r="P9" s="795" t="s">
        <v>773</v>
      </c>
      <c r="R9" s="785"/>
      <c r="S9" s="796" t="s">
        <v>743</v>
      </c>
    </row>
    <row r="10" spans="1:19" ht="11.45" customHeight="1">
      <c r="A10" s="797" t="s">
        <v>744</v>
      </c>
      <c r="C10" s="783"/>
      <c r="D10" s="794" t="s">
        <v>745</v>
      </c>
      <c r="E10" s="798" t="s">
        <v>774</v>
      </c>
      <c r="F10" s="798" t="s">
        <v>774</v>
      </c>
      <c r="G10" s="798" t="s">
        <v>774</v>
      </c>
      <c r="H10" s="798" t="s">
        <v>774</v>
      </c>
      <c r="I10" s="798" t="s">
        <v>774</v>
      </c>
      <c r="J10" s="798" t="s">
        <v>774</v>
      </c>
      <c r="K10" s="798" t="s">
        <v>774</v>
      </c>
      <c r="L10" s="798" t="s">
        <v>774</v>
      </c>
      <c r="M10" s="798" t="s">
        <v>774</v>
      </c>
      <c r="N10" s="798" t="s">
        <v>774</v>
      </c>
      <c r="O10" s="798" t="s">
        <v>774</v>
      </c>
      <c r="P10" s="798" t="s">
        <v>774</v>
      </c>
      <c r="R10" s="785"/>
      <c r="S10" s="796" t="s">
        <v>212</v>
      </c>
    </row>
    <row r="11" spans="1:19" ht="11.45" customHeight="1">
      <c r="A11" s="797"/>
      <c r="C11" s="783"/>
      <c r="D11" s="794"/>
      <c r="E11" s="781"/>
      <c r="F11" s="781" t="s">
        <v>291</v>
      </c>
      <c r="G11" s="781"/>
      <c r="H11" s="781"/>
      <c r="I11" s="781"/>
      <c r="J11" s="781"/>
      <c r="K11" s="781"/>
      <c r="L11" s="781"/>
      <c r="M11" s="781"/>
      <c r="N11" s="781"/>
      <c r="O11" s="781"/>
      <c r="P11" s="781"/>
      <c r="Q11" s="796"/>
      <c r="S11" s="796" t="s">
        <v>147</v>
      </c>
    </row>
    <row r="12" spans="1:19" ht="11.45" customHeight="1" thickBot="1">
      <c r="A12" s="783" t="s">
        <v>294</v>
      </c>
      <c r="B12" s="799" t="s">
        <v>746</v>
      </c>
      <c r="C12" s="800"/>
      <c r="D12" s="800"/>
      <c r="E12" s="783"/>
      <c r="F12" s="783"/>
      <c r="G12" s="783"/>
      <c r="H12" s="783"/>
      <c r="I12" s="783"/>
      <c r="J12" s="783"/>
      <c r="K12" s="783"/>
      <c r="L12" s="783"/>
      <c r="M12" s="783"/>
      <c r="N12" s="783"/>
      <c r="O12" s="783"/>
      <c r="P12" s="783"/>
      <c r="Q12" s="783"/>
      <c r="S12" s="787"/>
    </row>
    <row r="13" spans="1:19" s="801" customFormat="1" ht="11.45" customHeight="1">
      <c r="A13" s="783">
        <v>1</v>
      </c>
      <c r="C13" s="1052" t="s">
        <v>1169</v>
      </c>
      <c r="D13" s="1051"/>
      <c r="E13" s="1508">
        <v>3179</v>
      </c>
      <c r="F13" s="1508">
        <v>2790</v>
      </c>
      <c r="G13" s="1508">
        <v>2269</v>
      </c>
      <c r="H13" s="1508">
        <v>2377</v>
      </c>
      <c r="I13" s="1508">
        <v>3598</v>
      </c>
      <c r="J13" s="1508">
        <v>3911</v>
      </c>
      <c r="K13" s="1508">
        <v>4095</v>
      </c>
      <c r="L13" s="1508">
        <v>3816</v>
      </c>
      <c r="M13" s="1508">
        <v>3735</v>
      </c>
      <c r="N13" s="1508">
        <v>2962</v>
      </c>
      <c r="O13" s="1508">
        <v>2243</v>
      </c>
      <c r="P13" s="1508">
        <v>2828</v>
      </c>
      <c r="Q13" s="821">
        <f>ROUND(SUM(E13:P13)/12,1)</f>
        <v>3150.3</v>
      </c>
      <c r="R13" s="822">
        <f t="shared" ref="R13:R30" si="0">+Q13/Q$32</f>
        <v>0.37532241891127149</v>
      </c>
      <c r="S13" s="783">
        <f t="shared" ref="S13:S30" si="1">ROUND(Q13,0)</f>
        <v>3150</v>
      </c>
    </row>
    <row r="14" spans="1:19" s="801" customFormat="1" ht="11.45" customHeight="1">
      <c r="A14" s="783">
        <f>+A13+1</f>
        <v>2</v>
      </c>
      <c r="C14" s="1052" t="s">
        <v>1170</v>
      </c>
      <c r="D14" s="1051"/>
      <c r="E14" s="1508">
        <v>3412</v>
      </c>
      <c r="F14" s="1508">
        <v>2793</v>
      </c>
      <c r="G14" s="1508">
        <v>2329</v>
      </c>
      <c r="H14" s="1508">
        <v>2317</v>
      </c>
      <c r="I14" s="1508">
        <v>3371</v>
      </c>
      <c r="J14" s="1508">
        <v>3564</v>
      </c>
      <c r="K14" s="1508">
        <v>3727</v>
      </c>
      <c r="L14" s="1508">
        <v>3472</v>
      </c>
      <c r="M14" s="1508">
        <v>3457</v>
      </c>
      <c r="N14" s="1508">
        <v>3234</v>
      </c>
      <c r="O14" s="1508">
        <v>2406</v>
      </c>
      <c r="P14" s="1508">
        <v>2681</v>
      </c>
      <c r="Q14" s="821">
        <f t="shared" ref="Q14:Q30" si="2">ROUND(SUM(E14:P14)/12,1)</f>
        <v>3063.6</v>
      </c>
      <c r="R14" s="822">
        <f t="shared" si="0"/>
        <v>0.36499309988781109</v>
      </c>
      <c r="S14" s="783">
        <f t="shared" si="1"/>
        <v>3064</v>
      </c>
    </row>
    <row r="15" spans="1:19" s="801" customFormat="1" ht="11.45" customHeight="1">
      <c r="A15" s="783">
        <f t="shared" ref="A15:A32" si="3">+A14+1</f>
        <v>3</v>
      </c>
      <c r="C15" s="1052" t="s">
        <v>1171</v>
      </c>
      <c r="D15" s="1051"/>
      <c r="E15" s="1508">
        <v>776</v>
      </c>
      <c r="F15" s="1508">
        <v>589</v>
      </c>
      <c r="G15" s="1508">
        <v>486</v>
      </c>
      <c r="H15" s="1508">
        <v>347</v>
      </c>
      <c r="I15" s="1508">
        <v>611</v>
      </c>
      <c r="J15" s="1508">
        <v>683</v>
      </c>
      <c r="K15" s="1508">
        <v>731</v>
      </c>
      <c r="L15" s="1508">
        <v>634</v>
      </c>
      <c r="M15" s="1508">
        <v>629</v>
      </c>
      <c r="N15" s="1508">
        <v>452</v>
      </c>
      <c r="O15" s="1508">
        <v>310</v>
      </c>
      <c r="P15" s="1508">
        <v>535</v>
      </c>
      <c r="Q15" s="821">
        <f t="shared" si="2"/>
        <v>565.29999999999995</v>
      </c>
      <c r="R15" s="822">
        <f t="shared" si="0"/>
        <v>6.7349066251005216E-2</v>
      </c>
      <c r="S15" s="783">
        <f t="shared" si="1"/>
        <v>565</v>
      </c>
    </row>
    <row r="16" spans="1:19" s="801" customFormat="1" ht="11.45" customHeight="1">
      <c r="A16" s="783">
        <f t="shared" si="3"/>
        <v>4</v>
      </c>
      <c r="C16" s="1052" t="s">
        <v>1172</v>
      </c>
      <c r="D16" s="1051"/>
      <c r="E16" s="1509">
        <v>175</v>
      </c>
      <c r="F16" s="1509">
        <v>135</v>
      </c>
      <c r="G16" s="1509">
        <v>117</v>
      </c>
      <c r="H16" s="1509">
        <v>98</v>
      </c>
      <c r="I16" s="1509">
        <v>173</v>
      </c>
      <c r="J16" s="1509">
        <v>187</v>
      </c>
      <c r="K16" s="1509">
        <v>202</v>
      </c>
      <c r="L16" s="1509">
        <v>181</v>
      </c>
      <c r="M16" s="1509">
        <v>172</v>
      </c>
      <c r="N16" s="1508">
        <v>195</v>
      </c>
      <c r="O16" s="1508">
        <v>118</v>
      </c>
      <c r="P16" s="1508">
        <v>241</v>
      </c>
      <c r="Q16" s="821">
        <f t="shared" si="2"/>
        <v>166.2</v>
      </c>
      <c r="R16" s="822">
        <f t="shared" si="0"/>
        <v>1.9800839927325436E-2</v>
      </c>
      <c r="S16" s="783">
        <f t="shared" si="1"/>
        <v>166</v>
      </c>
    </row>
    <row r="17" spans="1:20" s="801" customFormat="1" ht="11.45" customHeight="1">
      <c r="A17" s="783">
        <f t="shared" si="3"/>
        <v>5</v>
      </c>
      <c r="C17" s="1052" t="s">
        <v>1173</v>
      </c>
      <c r="D17" s="1051"/>
      <c r="E17" s="1508">
        <v>47</v>
      </c>
      <c r="F17" s="1508">
        <v>41</v>
      </c>
      <c r="G17" s="1508">
        <v>34</v>
      </c>
      <c r="H17" s="1508">
        <v>23</v>
      </c>
      <c r="I17" s="1508">
        <v>36</v>
      </c>
      <c r="J17" s="1508">
        <v>38</v>
      </c>
      <c r="K17" s="1508">
        <v>42</v>
      </c>
      <c r="L17" s="1508">
        <v>37</v>
      </c>
      <c r="M17" s="1508">
        <v>36</v>
      </c>
      <c r="N17" s="1508">
        <v>31</v>
      </c>
      <c r="O17" s="1508">
        <v>27</v>
      </c>
      <c r="P17" s="1508">
        <v>42</v>
      </c>
      <c r="Q17" s="821">
        <f t="shared" si="2"/>
        <v>36.200000000000003</v>
      </c>
      <c r="R17" s="822">
        <f t="shared" si="0"/>
        <v>4.3128183235209439E-3</v>
      </c>
      <c r="S17" s="783">
        <f t="shared" si="1"/>
        <v>36</v>
      </c>
    </row>
    <row r="18" spans="1:20" s="801" customFormat="1" ht="11.45" customHeight="1">
      <c r="A18" s="783">
        <f t="shared" si="3"/>
        <v>6</v>
      </c>
      <c r="C18" s="1052" t="s">
        <v>1174</v>
      </c>
      <c r="D18" s="1051"/>
      <c r="E18" s="1508">
        <v>99</v>
      </c>
      <c r="F18" s="1508">
        <v>84</v>
      </c>
      <c r="G18" s="1508">
        <v>68</v>
      </c>
      <c r="H18" s="1508">
        <v>74</v>
      </c>
      <c r="I18" s="1508">
        <v>138</v>
      </c>
      <c r="J18" s="1508">
        <v>149</v>
      </c>
      <c r="K18" s="1508">
        <v>160</v>
      </c>
      <c r="L18" s="1508">
        <v>143</v>
      </c>
      <c r="M18" s="1508">
        <v>130</v>
      </c>
      <c r="N18" s="1508">
        <v>85</v>
      </c>
      <c r="O18" s="1508">
        <v>68</v>
      </c>
      <c r="P18" s="1508">
        <v>89</v>
      </c>
      <c r="Q18" s="821">
        <f t="shared" si="2"/>
        <v>107.3</v>
      </c>
      <c r="R18" s="822">
        <f t="shared" si="0"/>
        <v>1.2783574754524785E-2</v>
      </c>
      <c r="S18" s="783">
        <f t="shared" si="1"/>
        <v>107</v>
      </c>
    </row>
    <row r="19" spans="1:20" s="801" customFormat="1" ht="11.45" customHeight="1">
      <c r="A19" s="783">
        <f t="shared" si="3"/>
        <v>7</v>
      </c>
      <c r="C19" s="1052" t="s">
        <v>1175</v>
      </c>
      <c r="D19" s="1051"/>
      <c r="E19" s="1508">
        <v>5</v>
      </c>
      <c r="F19" s="1508">
        <v>0</v>
      </c>
      <c r="G19" s="1508">
        <v>5</v>
      </c>
      <c r="H19" s="1508">
        <v>0</v>
      </c>
      <c r="I19" s="1508">
        <v>5</v>
      </c>
      <c r="J19" s="1508">
        <v>2</v>
      </c>
      <c r="K19" s="1508">
        <v>2</v>
      </c>
      <c r="L19" s="1508">
        <v>3</v>
      </c>
      <c r="M19" s="1508">
        <v>0</v>
      </c>
      <c r="N19" s="1508">
        <v>2</v>
      </c>
      <c r="O19" s="1508">
        <v>3</v>
      </c>
      <c r="P19" s="1508">
        <v>5</v>
      </c>
      <c r="Q19" s="821">
        <f t="shared" si="2"/>
        <v>2.7</v>
      </c>
      <c r="R19" s="822">
        <f t="shared" si="0"/>
        <v>3.2167429484824715E-4</v>
      </c>
      <c r="S19" s="783">
        <f t="shared" si="1"/>
        <v>3</v>
      </c>
    </row>
    <row r="20" spans="1:20" ht="11.45" customHeight="1">
      <c r="A20" s="783">
        <f t="shared" si="3"/>
        <v>8</v>
      </c>
      <c r="C20" s="1052" t="s">
        <v>1176</v>
      </c>
      <c r="D20" s="1051"/>
      <c r="E20" s="1508">
        <v>4</v>
      </c>
      <c r="F20" s="1508">
        <v>0</v>
      </c>
      <c r="G20" s="1508">
        <v>3</v>
      </c>
      <c r="H20" s="1508">
        <v>0</v>
      </c>
      <c r="I20" s="1508">
        <v>3</v>
      </c>
      <c r="J20" s="1508">
        <v>2</v>
      </c>
      <c r="K20" s="1508">
        <v>2</v>
      </c>
      <c r="L20" s="1508">
        <v>2</v>
      </c>
      <c r="M20" s="1508">
        <v>0</v>
      </c>
      <c r="N20" s="1508">
        <v>2</v>
      </c>
      <c r="O20" s="1508">
        <v>1</v>
      </c>
      <c r="P20" s="1508">
        <v>3</v>
      </c>
      <c r="Q20" s="821">
        <f t="shared" si="2"/>
        <v>1.8</v>
      </c>
      <c r="R20" s="822">
        <f t="shared" si="0"/>
        <v>2.1444952989883143E-4</v>
      </c>
      <c r="S20" s="783">
        <f t="shared" si="1"/>
        <v>2</v>
      </c>
    </row>
    <row r="21" spans="1:20" s="801" customFormat="1" ht="11.45" customHeight="1">
      <c r="A21" s="783">
        <f t="shared" si="3"/>
        <v>9</v>
      </c>
      <c r="C21" s="1052" t="s">
        <v>1177</v>
      </c>
      <c r="D21" s="1051"/>
      <c r="E21" s="1508">
        <v>12</v>
      </c>
      <c r="F21" s="1508">
        <v>12</v>
      </c>
      <c r="G21" s="1508">
        <v>14</v>
      </c>
      <c r="H21" s="1508">
        <v>15</v>
      </c>
      <c r="I21" s="1508">
        <v>15</v>
      </c>
      <c r="J21" s="1508">
        <v>15</v>
      </c>
      <c r="K21" s="1508">
        <v>15</v>
      </c>
      <c r="L21" s="1508">
        <v>13</v>
      </c>
      <c r="M21" s="1508">
        <v>13</v>
      </c>
      <c r="N21" s="1508">
        <v>13</v>
      </c>
      <c r="O21" s="1508">
        <v>13</v>
      </c>
      <c r="P21" s="1508">
        <v>14</v>
      </c>
      <c r="Q21" s="821">
        <f t="shared" si="2"/>
        <v>13.7</v>
      </c>
      <c r="R21" s="822">
        <f t="shared" si="0"/>
        <v>1.6321991997855503E-3</v>
      </c>
      <c r="S21" s="783">
        <f t="shared" si="1"/>
        <v>14</v>
      </c>
    </row>
    <row r="22" spans="1:20" s="801" customFormat="1" ht="11.45" customHeight="1">
      <c r="A22" s="783">
        <f t="shared" si="3"/>
        <v>10</v>
      </c>
      <c r="C22" s="1052" t="s">
        <v>1178</v>
      </c>
      <c r="D22" s="1051"/>
      <c r="E22" s="1508">
        <v>1273</v>
      </c>
      <c r="F22" s="1508">
        <v>862</v>
      </c>
      <c r="G22" s="1508">
        <v>708</v>
      </c>
      <c r="H22" s="1508">
        <v>491</v>
      </c>
      <c r="I22" s="1508">
        <v>796</v>
      </c>
      <c r="J22" s="1508">
        <v>864</v>
      </c>
      <c r="K22" s="1508">
        <v>886</v>
      </c>
      <c r="L22" s="1508">
        <v>827</v>
      </c>
      <c r="M22" s="1508">
        <v>800</v>
      </c>
      <c r="N22" s="1508">
        <v>731</v>
      </c>
      <c r="O22" s="1508">
        <v>504</v>
      </c>
      <c r="P22" s="1508">
        <v>900</v>
      </c>
      <c r="Q22" s="821">
        <f t="shared" si="2"/>
        <v>803.5</v>
      </c>
      <c r="R22" s="822">
        <f t="shared" si="0"/>
        <v>9.5727887374283921E-2</v>
      </c>
      <c r="S22" s="783">
        <f t="shared" si="1"/>
        <v>804</v>
      </c>
    </row>
    <row r="23" spans="1:20" s="801" customFormat="1" ht="11.45" customHeight="1">
      <c r="A23" s="783">
        <f t="shared" si="3"/>
        <v>11</v>
      </c>
      <c r="C23" s="1052" t="s">
        <v>1179</v>
      </c>
      <c r="D23" s="1051"/>
      <c r="E23" s="1508">
        <v>9</v>
      </c>
      <c r="F23" s="1508">
        <v>7</v>
      </c>
      <c r="G23" s="1508">
        <v>6</v>
      </c>
      <c r="H23" s="1508">
        <v>8</v>
      </c>
      <c r="I23" s="1508">
        <v>11</v>
      </c>
      <c r="J23" s="1508">
        <v>14</v>
      </c>
      <c r="K23" s="1508">
        <v>18</v>
      </c>
      <c r="L23" s="1508">
        <v>15</v>
      </c>
      <c r="M23" s="1508">
        <v>7</v>
      </c>
      <c r="N23" s="1508">
        <v>3</v>
      </c>
      <c r="O23" s="1508">
        <v>6</v>
      </c>
      <c r="P23" s="1508">
        <v>8</v>
      </c>
      <c r="Q23" s="821">
        <f t="shared" si="2"/>
        <v>9.3000000000000007</v>
      </c>
      <c r="R23" s="822">
        <f t="shared" si="0"/>
        <v>1.1079892378106292E-3</v>
      </c>
      <c r="S23" s="783">
        <f t="shared" si="1"/>
        <v>9</v>
      </c>
    </row>
    <row r="24" spans="1:20" s="801" customFormat="1" ht="11.45" customHeight="1">
      <c r="A24" s="783">
        <f t="shared" si="3"/>
        <v>12</v>
      </c>
      <c r="C24" s="1052" t="s">
        <v>1180</v>
      </c>
      <c r="D24" s="1051"/>
      <c r="E24" s="1508">
        <v>2</v>
      </c>
      <c r="F24" s="1508">
        <v>2</v>
      </c>
      <c r="G24" s="1508">
        <v>1</v>
      </c>
      <c r="H24" s="1508">
        <v>1</v>
      </c>
      <c r="I24" s="1508">
        <v>4</v>
      </c>
      <c r="J24" s="1508">
        <v>3</v>
      </c>
      <c r="K24" s="1508">
        <v>4</v>
      </c>
      <c r="L24" s="1508">
        <v>6</v>
      </c>
      <c r="M24" s="1508">
        <v>2</v>
      </c>
      <c r="N24" s="1508">
        <v>1</v>
      </c>
      <c r="O24" s="1508">
        <v>1</v>
      </c>
      <c r="P24" s="1508">
        <v>2</v>
      </c>
      <c r="Q24" s="821">
        <f t="shared" si="2"/>
        <v>2.4</v>
      </c>
      <c r="R24" s="822">
        <f t="shared" si="0"/>
        <v>2.8593270653177522E-4</v>
      </c>
      <c r="S24" s="783">
        <f t="shared" si="1"/>
        <v>2</v>
      </c>
    </row>
    <row r="25" spans="1:20" s="801" customFormat="1" ht="11.45" customHeight="1">
      <c r="A25" s="783">
        <f t="shared" si="3"/>
        <v>13</v>
      </c>
      <c r="C25" s="1052" t="s">
        <v>1181</v>
      </c>
      <c r="D25" s="1051"/>
      <c r="E25" s="1508">
        <v>126</v>
      </c>
      <c r="F25" s="1508">
        <v>103</v>
      </c>
      <c r="G25" s="1508">
        <v>92</v>
      </c>
      <c r="H25" s="1508">
        <v>86</v>
      </c>
      <c r="I25" s="1508">
        <v>139</v>
      </c>
      <c r="J25" s="1508">
        <v>158</v>
      </c>
      <c r="K25" s="1508">
        <v>162</v>
      </c>
      <c r="L25" s="1508">
        <v>144</v>
      </c>
      <c r="M25" s="1508">
        <v>150</v>
      </c>
      <c r="N25" s="1508">
        <v>116</v>
      </c>
      <c r="O25" s="1508">
        <v>85</v>
      </c>
      <c r="P25" s="1508">
        <v>108</v>
      </c>
      <c r="Q25" s="821">
        <f t="shared" si="2"/>
        <v>122.4</v>
      </c>
      <c r="R25" s="822">
        <f t="shared" si="0"/>
        <v>1.4582568033120538E-2</v>
      </c>
      <c r="S25" s="783">
        <f t="shared" si="1"/>
        <v>122</v>
      </c>
    </row>
    <row r="26" spans="1:20" s="801" customFormat="1" ht="11.45" customHeight="1">
      <c r="A26" s="783">
        <f t="shared" si="3"/>
        <v>14</v>
      </c>
      <c r="C26" s="1052" t="s">
        <v>1182</v>
      </c>
      <c r="D26" s="1051"/>
      <c r="E26" s="1508">
        <v>9</v>
      </c>
      <c r="F26" s="1508">
        <v>9</v>
      </c>
      <c r="G26" s="1508">
        <v>9</v>
      </c>
      <c r="H26" s="1508">
        <v>10</v>
      </c>
      <c r="I26" s="1508">
        <v>9</v>
      </c>
      <c r="J26" s="1508">
        <v>14</v>
      </c>
      <c r="K26" s="1508">
        <v>15</v>
      </c>
      <c r="L26" s="1508">
        <v>14</v>
      </c>
      <c r="M26" s="1508">
        <v>13</v>
      </c>
      <c r="N26" s="1508">
        <v>13</v>
      </c>
      <c r="O26" s="1508">
        <v>11</v>
      </c>
      <c r="P26" s="1508">
        <v>7</v>
      </c>
      <c r="Q26" s="821">
        <f t="shared" si="2"/>
        <v>11.1</v>
      </c>
      <c r="R26" s="822">
        <f t="shared" si="0"/>
        <v>1.3224387677094605E-3</v>
      </c>
      <c r="S26" s="783">
        <f t="shared" si="1"/>
        <v>11</v>
      </c>
    </row>
    <row r="27" spans="1:20" s="801" customFormat="1" ht="11.45" customHeight="1">
      <c r="A27" s="783">
        <f t="shared" si="3"/>
        <v>15</v>
      </c>
      <c r="C27" s="1052" t="s">
        <v>1183</v>
      </c>
      <c r="D27" s="1051"/>
      <c r="E27" s="1508">
        <v>25</v>
      </c>
      <c r="F27" s="1508">
        <v>21</v>
      </c>
      <c r="G27" s="1508">
        <v>18</v>
      </c>
      <c r="H27" s="1508">
        <v>21</v>
      </c>
      <c r="I27" s="1508">
        <v>34</v>
      </c>
      <c r="J27" s="1508">
        <v>37</v>
      </c>
      <c r="K27" s="1508">
        <v>38</v>
      </c>
      <c r="L27" s="1508">
        <v>35</v>
      </c>
      <c r="M27" s="1508">
        <v>36</v>
      </c>
      <c r="N27" s="1508">
        <v>30</v>
      </c>
      <c r="O27" s="1508">
        <v>20</v>
      </c>
      <c r="P27" s="1508">
        <v>21</v>
      </c>
      <c r="Q27" s="821">
        <f t="shared" si="2"/>
        <v>28</v>
      </c>
      <c r="R27" s="822">
        <f t="shared" si="0"/>
        <v>3.3358815762040447E-3</v>
      </c>
      <c r="S27" s="783">
        <f t="shared" si="1"/>
        <v>28</v>
      </c>
    </row>
    <row r="28" spans="1:20" s="801" customFormat="1" ht="11.45" customHeight="1">
      <c r="A28" s="783">
        <f t="shared" si="3"/>
        <v>16</v>
      </c>
      <c r="C28" s="1052" t="s">
        <v>1184</v>
      </c>
      <c r="D28" s="1051"/>
      <c r="E28" s="1508">
        <v>45</v>
      </c>
      <c r="F28" s="1508">
        <v>43</v>
      </c>
      <c r="G28" s="1508">
        <v>39</v>
      </c>
      <c r="H28" s="1508">
        <v>39</v>
      </c>
      <c r="I28" s="1508">
        <v>56</v>
      </c>
      <c r="J28" s="1508">
        <v>57</v>
      </c>
      <c r="K28" s="1508">
        <v>56</v>
      </c>
      <c r="L28" s="1508">
        <v>56</v>
      </c>
      <c r="M28" s="1508">
        <v>55</v>
      </c>
      <c r="N28" s="1508">
        <v>51</v>
      </c>
      <c r="O28" s="1508">
        <v>17</v>
      </c>
      <c r="P28" s="1508">
        <v>36</v>
      </c>
      <c r="Q28" s="821">
        <f t="shared" si="2"/>
        <v>45.8</v>
      </c>
      <c r="R28" s="822">
        <f t="shared" si="0"/>
        <v>5.4565491496480437E-3</v>
      </c>
      <c r="S28" s="783">
        <f t="shared" si="1"/>
        <v>46</v>
      </c>
    </row>
    <row r="29" spans="1:20" ht="11.45" customHeight="1">
      <c r="A29" s="783">
        <f t="shared" si="3"/>
        <v>17</v>
      </c>
      <c r="B29" s="803" t="s">
        <v>291</v>
      </c>
      <c r="C29" s="1052" t="s">
        <v>1185</v>
      </c>
      <c r="D29" s="1051"/>
      <c r="E29" s="1508">
        <v>104</v>
      </c>
      <c r="F29" s="1508">
        <v>98</v>
      </c>
      <c r="G29" s="1508">
        <v>90</v>
      </c>
      <c r="H29" s="1508">
        <v>61</v>
      </c>
      <c r="I29" s="1508">
        <v>102</v>
      </c>
      <c r="J29" s="1508">
        <v>106</v>
      </c>
      <c r="K29" s="1508">
        <v>108</v>
      </c>
      <c r="L29" s="1508">
        <v>104</v>
      </c>
      <c r="M29" s="1508">
        <v>110</v>
      </c>
      <c r="N29" s="1509">
        <v>87</v>
      </c>
      <c r="O29" s="1508">
        <v>93</v>
      </c>
      <c r="P29" s="1508">
        <v>98</v>
      </c>
      <c r="Q29" s="821">
        <f>ROUND(SUM(E29:P29)/12,1)</f>
        <v>96.8</v>
      </c>
      <c r="R29" s="822">
        <f t="shared" si="0"/>
        <v>1.1532619163448268E-2</v>
      </c>
      <c r="S29" s="783">
        <f t="shared" si="1"/>
        <v>97</v>
      </c>
    </row>
    <row r="30" spans="1:20" ht="11.45" customHeight="1">
      <c r="A30" s="783">
        <f t="shared" si="3"/>
        <v>18</v>
      </c>
      <c r="C30" s="1055" t="s">
        <v>1186</v>
      </c>
      <c r="D30" s="1051"/>
      <c r="E30" s="1508">
        <v>204</v>
      </c>
      <c r="F30" s="1508">
        <v>131</v>
      </c>
      <c r="G30" s="1508">
        <v>109</v>
      </c>
      <c r="H30" s="1508">
        <v>84</v>
      </c>
      <c r="I30" s="1508">
        <v>134</v>
      </c>
      <c r="J30" s="1508">
        <v>132</v>
      </c>
      <c r="K30" s="1508">
        <v>143</v>
      </c>
      <c r="L30" s="1508">
        <v>120</v>
      </c>
      <c r="M30" s="1508">
        <v>127</v>
      </c>
      <c r="N30" s="1508">
        <v>124</v>
      </c>
      <c r="O30" s="1508">
        <v>85</v>
      </c>
      <c r="P30" s="1508">
        <v>142</v>
      </c>
      <c r="Q30" s="1054">
        <f t="shared" si="2"/>
        <v>127.9</v>
      </c>
      <c r="R30" s="822">
        <f t="shared" si="0"/>
        <v>1.5237830485589189E-2</v>
      </c>
      <c r="S30" s="783">
        <f t="shared" si="1"/>
        <v>128</v>
      </c>
    </row>
    <row r="31" spans="1:20" ht="11.45" customHeight="1">
      <c r="A31" s="783">
        <f t="shared" si="3"/>
        <v>19</v>
      </c>
      <c r="C31" s="1052" t="s">
        <v>1517</v>
      </c>
      <c r="D31" s="1051"/>
      <c r="E31" s="1508">
        <v>50</v>
      </c>
      <c r="F31" s="1508">
        <v>44</v>
      </c>
      <c r="G31" s="1508">
        <v>31</v>
      </c>
      <c r="H31" s="1508">
        <v>23</v>
      </c>
      <c r="I31" s="1508">
        <v>42</v>
      </c>
      <c r="J31" s="1508">
        <v>48</v>
      </c>
      <c r="K31" s="1508">
        <v>53</v>
      </c>
      <c r="L31" s="1508">
        <v>45</v>
      </c>
      <c r="M31" s="1508">
        <v>43</v>
      </c>
      <c r="N31" s="1508">
        <v>32</v>
      </c>
      <c r="O31" s="1508">
        <v>18</v>
      </c>
      <c r="P31" s="1508">
        <v>45</v>
      </c>
      <c r="Q31" s="823">
        <f>ROUND(SUM(E31:P31)/12,1)</f>
        <v>39.5</v>
      </c>
      <c r="R31" s="822">
        <f>+Q31/Q$32</f>
        <v>4.7059757950021338E-3</v>
      </c>
      <c r="S31" s="783">
        <f>ROUND(Q31,0)</f>
        <v>40</v>
      </c>
    </row>
    <row r="32" spans="1:20" ht="11.45" customHeight="1">
      <c r="A32" s="783">
        <f t="shared" si="3"/>
        <v>20</v>
      </c>
      <c r="B32" s="803" t="s">
        <v>754</v>
      </c>
      <c r="C32" s="783"/>
      <c r="D32" s="794"/>
      <c r="E32" s="1053">
        <f>SUM(E13:E31)</f>
        <v>9556</v>
      </c>
      <c r="F32" s="1053">
        <f t="shared" ref="F32:P32" si="4">SUM(F13:F31)</f>
        <v>7764</v>
      </c>
      <c r="G32" s="1053">
        <f t="shared" si="4"/>
        <v>6428</v>
      </c>
      <c r="H32" s="1053">
        <f t="shared" si="4"/>
        <v>6075</v>
      </c>
      <c r="I32" s="1053">
        <f t="shared" si="4"/>
        <v>9277</v>
      </c>
      <c r="J32" s="1053">
        <f t="shared" si="4"/>
        <v>9984</v>
      </c>
      <c r="K32" s="1053">
        <f t="shared" si="4"/>
        <v>10459</v>
      </c>
      <c r="L32" s="1053">
        <f t="shared" si="4"/>
        <v>9667</v>
      </c>
      <c r="M32" s="1053">
        <f t="shared" si="4"/>
        <v>9515</v>
      </c>
      <c r="N32" s="1053">
        <f t="shared" si="4"/>
        <v>8164</v>
      </c>
      <c r="O32" s="1053">
        <f t="shared" si="4"/>
        <v>6029</v>
      </c>
      <c r="P32" s="1053">
        <f t="shared" si="4"/>
        <v>7805</v>
      </c>
      <c r="Q32" s="802">
        <f>SUM(E32:P32)/12</f>
        <v>8393.5833333333339</v>
      </c>
      <c r="R32" s="785" t="s">
        <v>755</v>
      </c>
      <c r="S32" s="803">
        <f>SUM(S13:S31)</f>
        <v>8394</v>
      </c>
      <c r="T32" s="785" t="s">
        <v>756</v>
      </c>
    </row>
    <row r="33" spans="1:19" s="804" customFormat="1" ht="9.75" customHeight="1">
      <c r="A33" s="783"/>
      <c r="C33" s="783"/>
      <c r="D33" s="783"/>
      <c r="E33" s="805"/>
      <c r="F33" s="783"/>
      <c r="G33" s="783"/>
      <c r="H33" s="783"/>
      <c r="I33" s="783"/>
      <c r="J33" s="783"/>
      <c r="K33" s="783"/>
      <c r="L33" s="785"/>
      <c r="M33" s="785"/>
      <c r="N33" s="785"/>
      <c r="O33" s="785"/>
      <c r="P33" s="785"/>
      <c r="Q33" s="782"/>
      <c r="R33" s="806"/>
    </row>
    <row r="34" spans="1:19" ht="11.45" customHeight="1">
      <c r="C34" s="782"/>
      <c r="D34" s="782"/>
      <c r="E34" s="782"/>
      <c r="F34" s="782"/>
      <c r="G34" s="782"/>
      <c r="H34" s="782"/>
      <c r="I34" s="782"/>
      <c r="J34" s="782"/>
      <c r="K34" s="782"/>
      <c r="L34" s="782"/>
      <c r="M34" s="782"/>
      <c r="N34" s="782"/>
      <c r="O34" s="782"/>
      <c r="P34" s="782"/>
      <c r="Q34" s="783"/>
      <c r="R34" s="787" t="s">
        <v>291</v>
      </c>
    </row>
    <row r="35" spans="1:19" ht="11.45" customHeight="1">
      <c r="B35" s="807" t="s">
        <v>747</v>
      </c>
      <c r="C35" s="808"/>
      <c r="D35" s="808"/>
      <c r="E35" s="783"/>
      <c r="F35" s="783"/>
      <c r="G35" s="783"/>
      <c r="H35" s="783"/>
      <c r="I35" s="783"/>
      <c r="J35" s="783"/>
      <c r="K35" s="783"/>
      <c r="L35" s="783"/>
      <c r="M35" s="783"/>
      <c r="N35" s="783"/>
      <c r="O35" s="783"/>
      <c r="P35" s="783"/>
      <c r="Q35" s="783"/>
    </row>
    <row r="36" spans="1:19" ht="11.25" customHeight="1">
      <c r="A36" s="783">
        <f>+A32+1</f>
        <v>21</v>
      </c>
      <c r="B36" s="803" t="s">
        <v>748</v>
      </c>
      <c r="C36" s="783"/>
      <c r="D36" s="1056" t="s">
        <v>1187</v>
      </c>
      <c r="E36" s="1508">
        <v>3193</v>
      </c>
      <c r="F36" s="1508">
        <v>2804</v>
      </c>
      <c r="G36" s="1508">
        <v>2280</v>
      </c>
      <c r="H36" s="1508">
        <v>2387</v>
      </c>
      <c r="I36" s="1508">
        <v>3613</v>
      </c>
      <c r="J36" s="1508">
        <v>3923</v>
      </c>
      <c r="K36" s="1508">
        <v>4107</v>
      </c>
      <c r="L36" s="1508">
        <v>3831</v>
      </c>
      <c r="M36" s="1508">
        <v>3749</v>
      </c>
      <c r="N36" s="1508">
        <v>2973</v>
      </c>
      <c r="O36" s="1508">
        <v>2254</v>
      </c>
      <c r="P36" s="1508">
        <v>2841</v>
      </c>
      <c r="Q36" s="783"/>
    </row>
    <row r="37" spans="1:19" ht="11.25" customHeight="1">
      <c r="A37" s="783">
        <f t="shared" ref="A37:A47" si="5">+A36+1</f>
        <v>22</v>
      </c>
      <c r="B37" s="783"/>
      <c r="C37" s="783"/>
      <c r="D37" s="1056" t="s">
        <v>749</v>
      </c>
      <c r="E37" s="1498">
        <v>0</v>
      </c>
      <c r="F37" s="1498">
        <v>0</v>
      </c>
      <c r="G37" s="1498">
        <v>0</v>
      </c>
      <c r="H37" s="1498">
        <v>0</v>
      </c>
      <c r="I37" s="1498">
        <v>0</v>
      </c>
      <c r="J37" s="1498">
        <v>0</v>
      </c>
      <c r="K37" s="1498">
        <v>0</v>
      </c>
      <c r="L37" s="1498">
        <v>0</v>
      </c>
      <c r="M37" s="1498">
        <v>0</v>
      </c>
      <c r="N37" s="1498">
        <v>0</v>
      </c>
      <c r="O37" s="1498">
        <v>0</v>
      </c>
      <c r="P37" s="1498">
        <v>0</v>
      </c>
      <c r="Q37" s="802"/>
    </row>
    <row r="38" spans="1:19" ht="11.25" customHeight="1">
      <c r="A38" s="783">
        <f t="shared" si="5"/>
        <v>23</v>
      </c>
      <c r="B38" s="783"/>
      <c r="C38" s="783"/>
      <c r="D38" s="1056" t="s">
        <v>1188</v>
      </c>
      <c r="E38" s="1051">
        <v>0</v>
      </c>
      <c r="F38" s="1051">
        <v>0</v>
      </c>
      <c r="G38" s="1051">
        <v>0</v>
      </c>
      <c r="H38" s="1051">
        <v>0</v>
      </c>
      <c r="I38" s="1051">
        <v>0</v>
      </c>
      <c r="J38" s="1051">
        <v>0</v>
      </c>
      <c r="K38" s="1051">
        <v>0</v>
      </c>
      <c r="L38" s="1051">
        <v>0</v>
      </c>
      <c r="M38" s="1051">
        <v>0</v>
      </c>
      <c r="N38" s="1051">
        <v>0</v>
      </c>
      <c r="O38" s="1051">
        <v>0</v>
      </c>
      <c r="P38" s="1051">
        <v>0</v>
      </c>
      <c r="Q38" s="802"/>
    </row>
    <row r="39" spans="1:19" ht="11.25" customHeight="1">
      <c r="A39" s="783">
        <f t="shared" si="5"/>
        <v>24</v>
      </c>
      <c r="B39" s="783"/>
      <c r="C39" s="783"/>
      <c r="D39" s="1056" t="s">
        <v>757</v>
      </c>
      <c r="E39" s="1498">
        <v>0</v>
      </c>
      <c r="F39" s="1498">
        <v>0</v>
      </c>
      <c r="G39" s="1498">
        <v>0</v>
      </c>
      <c r="H39" s="1498">
        <v>0</v>
      </c>
      <c r="I39" s="1498">
        <v>0</v>
      </c>
      <c r="J39" s="1498">
        <v>0</v>
      </c>
      <c r="K39" s="1498">
        <v>0</v>
      </c>
      <c r="L39" s="1498">
        <v>0</v>
      </c>
      <c r="M39" s="1498">
        <v>0</v>
      </c>
      <c r="N39" s="1498">
        <v>0</v>
      </c>
      <c r="O39" s="1498">
        <v>0</v>
      </c>
      <c r="P39" s="1498">
        <v>0</v>
      </c>
      <c r="Q39" s="783"/>
    </row>
    <row r="40" spans="1:19" ht="11.25" customHeight="1">
      <c r="A40" s="783">
        <f t="shared" si="5"/>
        <v>25</v>
      </c>
      <c r="B40" s="783"/>
      <c r="C40" s="783"/>
      <c r="D40" s="1056" t="s">
        <v>758</v>
      </c>
      <c r="E40" s="1508">
        <v>-7</v>
      </c>
      <c r="F40" s="1508">
        <v>-7</v>
      </c>
      <c r="G40" s="1508">
        <v>-6</v>
      </c>
      <c r="H40" s="1508">
        <v>-6</v>
      </c>
      <c r="I40" s="1508">
        <v>-7</v>
      </c>
      <c r="J40" s="1508">
        <v>-6</v>
      </c>
      <c r="K40" s="1508">
        <v>-6</v>
      </c>
      <c r="L40" s="1508">
        <v>-6</v>
      </c>
      <c r="M40" s="1508">
        <v>-6</v>
      </c>
      <c r="N40" s="1508">
        <v>-7</v>
      </c>
      <c r="O40" s="1508">
        <v>-7</v>
      </c>
      <c r="P40" s="1508">
        <v>-7</v>
      </c>
      <c r="Q40" s="783"/>
    </row>
    <row r="41" spans="1:19" ht="12.75" customHeight="1">
      <c r="A41" s="783">
        <f t="shared" si="5"/>
        <v>26</v>
      </c>
      <c r="B41" s="783"/>
      <c r="C41" s="783"/>
      <c r="D41" s="1056" t="s">
        <v>750</v>
      </c>
      <c r="E41" s="1508">
        <v>-7</v>
      </c>
      <c r="F41" s="1508">
        <v>-7</v>
      </c>
      <c r="G41" s="1508">
        <v>-5</v>
      </c>
      <c r="H41" s="1508">
        <v>-4</v>
      </c>
      <c r="I41" s="1508">
        <v>-7</v>
      </c>
      <c r="J41" s="1508">
        <v>-6</v>
      </c>
      <c r="K41" s="1508">
        <v>-6</v>
      </c>
      <c r="L41" s="1508">
        <v>-9</v>
      </c>
      <c r="M41" s="1508">
        <v>-8</v>
      </c>
      <c r="N41" s="1508">
        <v>-4</v>
      </c>
      <c r="O41" s="1508">
        <v>-4</v>
      </c>
      <c r="P41" s="1508">
        <v>-6</v>
      </c>
    </row>
    <row r="42" spans="1:19" ht="17.25" customHeight="1" thickBot="1">
      <c r="A42" s="783">
        <f t="shared" si="5"/>
        <v>27</v>
      </c>
      <c r="B42" s="783"/>
      <c r="C42" s="803" t="s">
        <v>759</v>
      </c>
      <c r="D42" s="803"/>
      <c r="E42" s="784">
        <f t="shared" ref="E42:P42" si="6">SUM(E36:E41)</f>
        <v>3179</v>
      </c>
      <c r="F42" s="784">
        <f t="shared" si="6"/>
        <v>2790</v>
      </c>
      <c r="G42" s="784">
        <f t="shared" si="6"/>
        <v>2269</v>
      </c>
      <c r="H42" s="784">
        <f t="shared" si="6"/>
        <v>2377</v>
      </c>
      <c r="I42" s="784">
        <f t="shared" si="6"/>
        <v>3599</v>
      </c>
      <c r="J42" s="784">
        <f t="shared" si="6"/>
        <v>3911</v>
      </c>
      <c r="K42" s="784">
        <f t="shared" si="6"/>
        <v>4095</v>
      </c>
      <c r="L42" s="784">
        <f t="shared" si="6"/>
        <v>3816</v>
      </c>
      <c r="M42" s="784">
        <f t="shared" si="6"/>
        <v>3735</v>
      </c>
      <c r="N42" s="784">
        <f t="shared" si="6"/>
        <v>2962</v>
      </c>
      <c r="O42" s="784">
        <f t="shared" si="6"/>
        <v>2243</v>
      </c>
      <c r="P42" s="784">
        <f t="shared" si="6"/>
        <v>2828</v>
      </c>
      <c r="Q42" s="802">
        <f>SUM(E42:P42)/12</f>
        <v>3150.3333333333335</v>
      </c>
      <c r="S42" s="785">
        <f>ROUND(Q42,0)</f>
        <v>3150</v>
      </c>
    </row>
    <row r="43" spans="1:19" ht="11.45" customHeight="1" thickTop="1">
      <c r="A43" s="783">
        <f t="shared" si="5"/>
        <v>28</v>
      </c>
      <c r="B43" s="803" t="s">
        <v>751</v>
      </c>
      <c r="C43" s="783"/>
      <c r="D43" s="783"/>
      <c r="E43" s="783"/>
      <c r="F43" s="783"/>
      <c r="G43" s="783"/>
      <c r="H43" s="783"/>
      <c r="I43" s="783"/>
      <c r="J43" s="783" t="s">
        <v>291</v>
      </c>
      <c r="K43" s="783"/>
      <c r="L43" s="783"/>
      <c r="M43" s="783"/>
      <c r="N43" s="783"/>
      <c r="O43" s="783"/>
      <c r="P43" s="783"/>
      <c r="Q43" s="783"/>
    </row>
    <row r="44" spans="1:19" ht="11.45" customHeight="1">
      <c r="A44" s="783">
        <f t="shared" si="5"/>
        <v>29</v>
      </c>
      <c r="B44" s="783"/>
      <c r="C44" s="783"/>
      <c r="D44" s="1056" t="s">
        <v>1189</v>
      </c>
      <c r="E44" s="1508">
        <v>3616</v>
      </c>
      <c r="F44" s="1508">
        <v>2924</v>
      </c>
      <c r="G44" s="1508">
        <v>2438</v>
      </c>
      <c r="H44" s="1508">
        <v>2401</v>
      </c>
      <c r="I44" s="1508">
        <v>3505</v>
      </c>
      <c r="J44" s="1508">
        <v>3696</v>
      </c>
      <c r="K44" s="1508">
        <v>3870</v>
      </c>
      <c r="L44" s="1508">
        <v>3592</v>
      </c>
      <c r="M44" s="1508">
        <v>3584</v>
      </c>
      <c r="N44" s="1508">
        <v>3358</v>
      </c>
      <c r="O44" s="1508">
        <v>2491</v>
      </c>
      <c r="P44" s="1508">
        <v>2823</v>
      </c>
      <c r="Q44" s="783"/>
    </row>
    <row r="45" spans="1:19" ht="11.45" customHeight="1">
      <c r="A45" s="783">
        <f t="shared" si="5"/>
        <v>30</v>
      </c>
      <c r="B45" s="783"/>
      <c r="C45" s="783"/>
      <c r="D45" s="1056" t="s">
        <v>760</v>
      </c>
      <c r="E45" s="1508">
        <v>0</v>
      </c>
      <c r="F45" s="1508">
        <v>0</v>
      </c>
      <c r="G45" s="1508">
        <v>0</v>
      </c>
      <c r="H45" s="1508">
        <v>0</v>
      </c>
      <c r="I45" s="1508">
        <v>0</v>
      </c>
      <c r="J45" s="1508">
        <v>0</v>
      </c>
      <c r="K45" s="1508">
        <v>0</v>
      </c>
      <c r="L45" s="1508">
        <v>0</v>
      </c>
      <c r="M45" s="1508">
        <v>0</v>
      </c>
      <c r="N45" s="1508">
        <v>0</v>
      </c>
      <c r="O45" s="1508">
        <v>0</v>
      </c>
      <c r="P45" s="1508">
        <v>0</v>
      </c>
      <c r="Q45" s="783"/>
    </row>
    <row r="46" spans="1:19" ht="11.45" customHeight="1">
      <c r="A46" s="783">
        <f t="shared" si="5"/>
        <v>31</v>
      </c>
      <c r="B46" s="783"/>
      <c r="C46" s="783"/>
      <c r="D46" s="1056" t="s">
        <v>1190</v>
      </c>
      <c r="E46" s="1508">
        <v>-204</v>
      </c>
      <c r="F46" s="1508">
        <v>-131</v>
      </c>
      <c r="G46" s="1508">
        <v>-109</v>
      </c>
      <c r="H46" s="1508">
        <v>-84</v>
      </c>
      <c r="I46" s="1508">
        <v>-134</v>
      </c>
      <c r="J46" s="1508">
        <v>-132</v>
      </c>
      <c r="K46" s="1508">
        <v>-143</v>
      </c>
      <c r="L46" s="1508">
        <v>-120</v>
      </c>
      <c r="M46" s="1508">
        <v>-127</v>
      </c>
      <c r="N46" s="1508">
        <v>-124</v>
      </c>
      <c r="O46" s="1508">
        <v>-85</v>
      </c>
      <c r="P46" s="1508">
        <v>-142</v>
      </c>
      <c r="Q46" s="783"/>
    </row>
    <row r="47" spans="1:19" ht="15" customHeight="1" thickBot="1">
      <c r="A47" s="783">
        <f t="shared" si="5"/>
        <v>32</v>
      </c>
      <c r="B47" s="783"/>
      <c r="C47" s="803" t="s">
        <v>761</v>
      </c>
      <c r="D47" s="803"/>
      <c r="E47" s="784">
        <f>SUM(E44:E46)</f>
        <v>3412</v>
      </c>
      <c r="F47" s="784">
        <f t="shared" ref="F47:P47" si="7">SUM(F44:F46)</f>
        <v>2793</v>
      </c>
      <c r="G47" s="784">
        <f t="shared" si="7"/>
        <v>2329</v>
      </c>
      <c r="H47" s="784">
        <f t="shared" si="7"/>
        <v>2317</v>
      </c>
      <c r="I47" s="784">
        <f t="shared" si="7"/>
        <v>3371</v>
      </c>
      <c r="J47" s="784">
        <f t="shared" si="7"/>
        <v>3564</v>
      </c>
      <c r="K47" s="784">
        <f t="shared" si="7"/>
        <v>3727</v>
      </c>
      <c r="L47" s="784">
        <f t="shared" si="7"/>
        <v>3472</v>
      </c>
      <c r="M47" s="784">
        <f t="shared" si="7"/>
        <v>3457</v>
      </c>
      <c r="N47" s="784">
        <f t="shared" si="7"/>
        <v>3234</v>
      </c>
      <c r="O47" s="784">
        <f t="shared" si="7"/>
        <v>2406</v>
      </c>
      <c r="P47" s="784">
        <f t="shared" si="7"/>
        <v>2681</v>
      </c>
      <c r="Q47" s="802">
        <f>SUM(E47:P47)/12</f>
        <v>3063.5833333333335</v>
      </c>
      <c r="S47" s="785">
        <f>ROUND(Q47,0)</f>
        <v>3064</v>
      </c>
    </row>
    <row r="48" spans="1:19" ht="11.45" customHeight="1" thickTop="1">
      <c r="B48" s="783"/>
      <c r="C48" s="783"/>
      <c r="D48" s="783"/>
      <c r="E48" s="783"/>
      <c r="F48" s="783"/>
      <c r="G48" s="783"/>
      <c r="H48" s="783"/>
      <c r="I48" s="783"/>
      <c r="J48" s="783"/>
      <c r="K48" s="783"/>
      <c r="L48" s="783"/>
      <c r="M48" s="783"/>
      <c r="N48" s="783"/>
      <c r="O48" s="783"/>
      <c r="P48" s="783"/>
      <c r="Q48" s="783"/>
    </row>
    <row r="49" spans="1:19">
      <c r="A49" s="783">
        <f>+A47+1</f>
        <v>33</v>
      </c>
      <c r="B49" s="803" t="s">
        <v>770</v>
      </c>
      <c r="C49" s="803"/>
      <c r="D49" s="803"/>
      <c r="E49" s="783"/>
      <c r="F49" s="783"/>
      <c r="G49" s="783"/>
      <c r="H49" s="783"/>
      <c r="I49" s="783"/>
      <c r="J49" s="783"/>
      <c r="K49" s="783"/>
      <c r="L49" s="783"/>
      <c r="M49" s="783"/>
      <c r="N49" s="783"/>
      <c r="O49" s="783"/>
      <c r="P49" s="783"/>
      <c r="Q49" s="810" t="s">
        <v>762</v>
      </c>
      <c r="R49" s="811" t="s">
        <v>763</v>
      </c>
      <c r="S49" s="812">
        <f>ROUND(Q58,0)</f>
        <v>8394</v>
      </c>
    </row>
    <row r="50" spans="1:19">
      <c r="A50" s="785"/>
      <c r="B50" s="809"/>
      <c r="C50" s="803"/>
      <c r="D50" s="803"/>
      <c r="G50" s="783"/>
      <c r="R50" s="785"/>
    </row>
    <row r="51" spans="1:19" ht="13.5" thickBot="1">
      <c r="A51" s="785"/>
      <c r="B51" s="813" t="s">
        <v>764</v>
      </c>
      <c r="C51" s="814"/>
      <c r="D51" s="800"/>
      <c r="G51" s="783"/>
    </row>
    <row r="52" spans="1:19">
      <c r="A52" s="785">
        <f>+A49+1</f>
        <v>34</v>
      </c>
      <c r="B52" s="783"/>
      <c r="D52" s="809" t="s">
        <v>765</v>
      </c>
      <c r="E52" s="783">
        <f t="shared" ref="E52:P52" si="8">+E13</f>
        <v>3179</v>
      </c>
      <c r="F52" s="783">
        <f t="shared" si="8"/>
        <v>2790</v>
      </c>
      <c r="G52" s="783">
        <f t="shared" si="8"/>
        <v>2269</v>
      </c>
      <c r="H52" s="783">
        <f t="shared" si="8"/>
        <v>2377</v>
      </c>
      <c r="I52" s="783">
        <f t="shared" si="8"/>
        <v>3598</v>
      </c>
      <c r="J52" s="783">
        <f t="shared" si="8"/>
        <v>3911</v>
      </c>
      <c r="K52" s="783">
        <f t="shared" si="8"/>
        <v>4095</v>
      </c>
      <c r="L52" s="783">
        <f t="shared" si="8"/>
        <v>3816</v>
      </c>
      <c r="M52" s="783">
        <f t="shared" si="8"/>
        <v>3735</v>
      </c>
      <c r="N52" s="783">
        <f t="shared" si="8"/>
        <v>2962</v>
      </c>
      <c r="O52" s="783">
        <f t="shared" si="8"/>
        <v>2243</v>
      </c>
      <c r="P52" s="783">
        <f t="shared" si="8"/>
        <v>2828</v>
      </c>
      <c r="Q52" s="802">
        <f t="shared" ref="Q52:Q57" si="9">SUM(E52:P52)/12</f>
        <v>3150.25</v>
      </c>
      <c r="S52" s="783">
        <f t="shared" ref="S52:S57" si="10">ROUND(Q52,0)</f>
        <v>3150</v>
      </c>
    </row>
    <row r="53" spans="1:19">
      <c r="A53" s="785">
        <f t="shared" ref="A53:A58" si="11">+A52+1</f>
        <v>35</v>
      </c>
      <c r="B53" s="783"/>
      <c r="C53" s="783"/>
      <c r="D53" s="809" t="s">
        <v>766</v>
      </c>
      <c r="E53" s="783">
        <v>0</v>
      </c>
      <c r="F53" s="783">
        <v>0</v>
      </c>
      <c r="G53" s="783">
        <v>0</v>
      </c>
      <c r="H53" s="783">
        <v>0</v>
      </c>
      <c r="I53" s="783">
        <v>0</v>
      </c>
      <c r="J53" s="783">
        <v>0</v>
      </c>
      <c r="K53" s="783">
        <v>0</v>
      </c>
      <c r="L53" s="783">
        <v>0</v>
      </c>
      <c r="M53" s="783">
        <v>0</v>
      </c>
      <c r="N53" s="783">
        <v>0</v>
      </c>
      <c r="O53" s="783">
        <v>0</v>
      </c>
      <c r="P53" s="783">
        <v>0</v>
      </c>
      <c r="Q53" s="802">
        <f t="shared" si="9"/>
        <v>0</v>
      </c>
      <c r="S53" s="783">
        <f t="shared" si="10"/>
        <v>0</v>
      </c>
    </row>
    <row r="54" spans="1:19">
      <c r="A54" s="785">
        <f t="shared" si="11"/>
        <v>36</v>
      </c>
      <c r="B54" s="783"/>
      <c r="C54" s="783"/>
      <c r="D54" s="809" t="s">
        <v>767</v>
      </c>
      <c r="E54" s="783">
        <v>0</v>
      </c>
      <c r="F54" s="783">
        <v>0</v>
      </c>
      <c r="G54" s="783">
        <v>0</v>
      </c>
      <c r="H54" s="783">
        <v>0</v>
      </c>
      <c r="I54" s="783">
        <v>0</v>
      </c>
      <c r="J54" s="783">
        <v>0</v>
      </c>
      <c r="K54" s="783">
        <v>0</v>
      </c>
      <c r="L54" s="783">
        <v>0</v>
      </c>
      <c r="M54" s="783">
        <v>0</v>
      </c>
      <c r="N54" s="783">
        <v>0</v>
      </c>
      <c r="O54" s="783">
        <v>0</v>
      </c>
      <c r="P54" s="783">
        <v>0</v>
      </c>
      <c r="Q54" s="802">
        <f t="shared" si="9"/>
        <v>0</v>
      </c>
      <c r="S54" s="783">
        <f t="shared" si="10"/>
        <v>0</v>
      </c>
    </row>
    <row r="55" spans="1:19">
      <c r="A55" s="785">
        <f t="shared" si="11"/>
        <v>37</v>
      </c>
      <c r="B55" s="783"/>
      <c r="C55" s="783"/>
      <c r="D55" s="809" t="s">
        <v>768</v>
      </c>
      <c r="E55" s="783">
        <f>+E52-E53-E54</f>
        <v>3179</v>
      </c>
      <c r="F55" s="783">
        <f t="shared" ref="F55:P55" si="12">+F52-F53-F54</f>
        <v>2790</v>
      </c>
      <c r="G55" s="783">
        <f t="shared" si="12"/>
        <v>2269</v>
      </c>
      <c r="H55" s="783">
        <f t="shared" si="12"/>
        <v>2377</v>
      </c>
      <c r="I55" s="783">
        <f t="shared" si="12"/>
        <v>3598</v>
      </c>
      <c r="J55" s="783">
        <f t="shared" si="12"/>
        <v>3911</v>
      </c>
      <c r="K55" s="783">
        <f t="shared" si="12"/>
        <v>4095</v>
      </c>
      <c r="L55" s="783">
        <f t="shared" si="12"/>
        <v>3816</v>
      </c>
      <c r="M55" s="783">
        <f t="shared" si="12"/>
        <v>3735</v>
      </c>
      <c r="N55" s="783">
        <f t="shared" si="12"/>
        <v>2962</v>
      </c>
      <c r="O55" s="783">
        <f t="shared" si="12"/>
        <v>2243</v>
      </c>
      <c r="P55" s="783">
        <f t="shared" si="12"/>
        <v>2828</v>
      </c>
      <c r="Q55" s="802">
        <f t="shared" si="9"/>
        <v>3150.25</v>
      </c>
      <c r="S55" s="783">
        <f t="shared" si="10"/>
        <v>3150</v>
      </c>
    </row>
    <row r="56" spans="1:19">
      <c r="A56" s="785">
        <f t="shared" si="11"/>
        <v>38</v>
      </c>
      <c r="B56" s="783"/>
      <c r="C56" s="783"/>
      <c r="D56" s="809" t="s">
        <v>769</v>
      </c>
      <c r="E56" s="783">
        <f t="shared" ref="E56:P56" si="13">+E14</f>
        <v>3412</v>
      </c>
      <c r="F56" s="783">
        <f t="shared" si="13"/>
        <v>2793</v>
      </c>
      <c r="G56" s="783">
        <f t="shared" si="13"/>
        <v>2329</v>
      </c>
      <c r="H56" s="783">
        <f t="shared" si="13"/>
        <v>2317</v>
      </c>
      <c r="I56" s="783">
        <f t="shared" si="13"/>
        <v>3371</v>
      </c>
      <c r="J56" s="783">
        <f t="shared" si="13"/>
        <v>3564</v>
      </c>
      <c r="K56" s="783">
        <f t="shared" si="13"/>
        <v>3727</v>
      </c>
      <c r="L56" s="783">
        <f t="shared" si="13"/>
        <v>3472</v>
      </c>
      <c r="M56" s="783">
        <f t="shared" si="13"/>
        <v>3457</v>
      </c>
      <c r="N56" s="783">
        <f t="shared" si="13"/>
        <v>3234</v>
      </c>
      <c r="O56" s="783">
        <f t="shared" si="13"/>
        <v>2406</v>
      </c>
      <c r="P56" s="783">
        <f t="shared" si="13"/>
        <v>2681</v>
      </c>
      <c r="Q56" s="802">
        <f t="shared" si="9"/>
        <v>3063.5833333333335</v>
      </c>
      <c r="S56" s="783">
        <f t="shared" si="10"/>
        <v>3064</v>
      </c>
    </row>
    <row r="57" spans="1:19" ht="13.5" thickBot="1">
      <c r="A57" s="785">
        <f t="shared" si="11"/>
        <v>39</v>
      </c>
      <c r="C57" s="783" t="s">
        <v>770</v>
      </c>
      <c r="D57" s="811"/>
      <c r="E57" s="815">
        <f>+E55+E56</f>
        <v>6591</v>
      </c>
      <c r="F57" s="815">
        <f t="shared" ref="F57:P57" si="14">+F55+F56</f>
        <v>5583</v>
      </c>
      <c r="G57" s="815">
        <f t="shared" si="14"/>
        <v>4598</v>
      </c>
      <c r="H57" s="815">
        <f t="shared" si="14"/>
        <v>4694</v>
      </c>
      <c r="I57" s="815">
        <f t="shared" si="14"/>
        <v>6969</v>
      </c>
      <c r="J57" s="815">
        <f t="shared" si="14"/>
        <v>7475</v>
      </c>
      <c r="K57" s="815">
        <f t="shared" si="14"/>
        <v>7822</v>
      </c>
      <c r="L57" s="815">
        <f t="shared" si="14"/>
        <v>7288</v>
      </c>
      <c r="M57" s="815">
        <f t="shared" si="14"/>
        <v>7192</v>
      </c>
      <c r="N57" s="815">
        <f t="shared" si="14"/>
        <v>6196</v>
      </c>
      <c r="O57" s="815">
        <f t="shared" si="14"/>
        <v>4649</v>
      </c>
      <c r="P57" s="815">
        <f t="shared" si="14"/>
        <v>5509</v>
      </c>
      <c r="Q57" s="802">
        <f t="shared" si="9"/>
        <v>6213.833333333333</v>
      </c>
      <c r="S57" s="783">
        <f t="shared" si="10"/>
        <v>6214</v>
      </c>
    </row>
    <row r="58" spans="1:19" ht="14.25" thickTop="1" thickBot="1">
      <c r="A58" s="785">
        <f t="shared" si="11"/>
        <v>40</v>
      </c>
      <c r="C58" s="787"/>
      <c r="D58" s="816" t="s">
        <v>771</v>
      </c>
      <c r="E58" s="815">
        <f t="shared" ref="E58:P58" si="15">E32-E53-E54</f>
        <v>9556</v>
      </c>
      <c r="F58" s="815">
        <f t="shared" si="15"/>
        <v>7764</v>
      </c>
      <c r="G58" s="815">
        <f t="shared" si="15"/>
        <v>6428</v>
      </c>
      <c r="H58" s="815">
        <f t="shared" si="15"/>
        <v>6075</v>
      </c>
      <c r="I58" s="815">
        <f t="shared" si="15"/>
        <v>9277</v>
      </c>
      <c r="J58" s="815">
        <f t="shared" si="15"/>
        <v>9984</v>
      </c>
      <c r="K58" s="815">
        <f t="shared" si="15"/>
        <v>10459</v>
      </c>
      <c r="L58" s="815">
        <f t="shared" si="15"/>
        <v>9667</v>
      </c>
      <c r="M58" s="815">
        <f t="shared" si="15"/>
        <v>9515</v>
      </c>
      <c r="N58" s="815">
        <f t="shared" si="15"/>
        <v>8164</v>
      </c>
      <c r="O58" s="815">
        <f t="shared" si="15"/>
        <v>6029</v>
      </c>
      <c r="P58" s="815">
        <f t="shared" si="15"/>
        <v>7805</v>
      </c>
      <c r="Q58" s="802">
        <f>SUM(E58:P58)/12</f>
        <v>8393.5833333333339</v>
      </c>
    </row>
    <row r="59" spans="1:19" ht="13.5" thickTop="1">
      <c r="A59" s="785"/>
      <c r="C59" s="787"/>
      <c r="D59" s="816"/>
      <c r="E59" s="782"/>
      <c r="F59" s="782"/>
      <c r="G59" s="782"/>
      <c r="H59" s="782"/>
      <c r="I59" s="782"/>
      <c r="J59" s="782"/>
      <c r="K59" s="782"/>
      <c r="L59" s="782"/>
      <c r="M59" s="782"/>
      <c r="N59" s="782"/>
      <c r="O59" s="782"/>
      <c r="P59" s="782"/>
      <c r="Q59" s="817"/>
    </row>
    <row r="60" spans="1:19">
      <c r="A60" s="785"/>
      <c r="B60" s="818" t="s">
        <v>1191</v>
      </c>
      <c r="I60" s="787"/>
      <c r="J60" s="787"/>
      <c r="K60" s="787"/>
      <c r="L60" s="787"/>
      <c r="M60" s="787"/>
      <c r="N60" s="787"/>
      <c r="O60" s="787"/>
      <c r="P60" s="787"/>
    </row>
    <row r="61" spans="1:19" ht="13.5" customHeight="1">
      <c r="C61" s="1057" t="s">
        <v>1192</v>
      </c>
      <c r="D61" s="1058"/>
      <c r="E61" s="1028"/>
      <c r="F61" s="1028"/>
      <c r="G61" s="1028"/>
      <c r="H61" s="1028"/>
      <c r="I61" s="1028"/>
      <c r="J61" s="1028"/>
      <c r="K61" s="1028"/>
      <c r="L61" s="1028"/>
      <c r="M61" s="1028"/>
      <c r="N61" s="1028"/>
      <c r="O61" s="1028"/>
    </row>
    <row r="62" spans="1:19">
      <c r="A62" s="785"/>
      <c r="C62" s="1059" t="s">
        <v>1193</v>
      </c>
      <c r="D62"/>
    </row>
    <row r="63" spans="1:19">
      <c r="A63" s="785"/>
      <c r="C63" s="1059" t="s">
        <v>1194</v>
      </c>
      <c r="D63"/>
    </row>
    <row r="64" spans="1:19">
      <c r="C64" s="1059" t="s">
        <v>1195</v>
      </c>
      <c r="D64" s="1059"/>
      <c r="Q64" s="802"/>
      <c r="R64" s="783"/>
    </row>
    <row r="65" spans="1:18">
      <c r="A65" s="785"/>
      <c r="C65" s="1059" t="s">
        <v>1196</v>
      </c>
      <c r="D65"/>
      <c r="Q65" s="802"/>
      <c r="R65" s="783"/>
    </row>
    <row r="66" spans="1:18">
      <c r="A66" s="785"/>
      <c r="Q66" s="802"/>
      <c r="R66" s="783"/>
    </row>
    <row r="68" spans="1:18">
      <c r="A68" s="785"/>
      <c r="Q68" s="802"/>
    </row>
  </sheetData>
  <pageMargins left="0.5" right="0.5" top="0.6" bottom="0.5" header="0.5" footer="0.28999999999999998"/>
  <pageSetup scale="50" orientation="landscape" r:id="rId1"/>
  <headerFooter alignWithMargins="0">
    <oddHeader xml:space="preserve">&amp;C
&amp;RAEP - SPP Formula Rate
LOAD WORKSHEET
Page: &amp;P of &amp;N
</oddHeader>
    <oddFooter xml:space="preserve">&amp;L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5" tint="-0.249977111117893"/>
    <pageSetUpPr fitToPage="1"/>
  </sheetPr>
  <dimension ref="A1:U712"/>
  <sheetViews>
    <sheetView zoomScale="80" zoomScaleNormal="80" zoomScaleSheetLayoutView="75" zoomScalePageLayoutView="70" workbookViewId="0">
      <selection activeCell="G22" sqref="G22"/>
    </sheetView>
  </sheetViews>
  <sheetFormatPr defaultColWidth="11.42578125" defaultRowHeight="15"/>
  <cols>
    <col min="1" max="1" width="4.7109375" style="15" customWidth="1"/>
    <col min="2" max="2" width="7.85546875" style="3" customWidth="1"/>
    <col min="3" max="3" width="1.85546875" style="15" customWidth="1"/>
    <col min="4" max="4" width="63.28515625" style="15" customWidth="1"/>
    <col min="5" max="5" width="37.28515625" style="15" customWidth="1"/>
    <col min="6" max="6" width="26.140625" style="15" customWidth="1"/>
    <col min="7" max="7" width="20.7109375" style="15" customWidth="1"/>
    <col min="8" max="8" width="18.85546875" style="15" customWidth="1"/>
    <col min="9" max="9" width="9.85546875" style="15" customWidth="1"/>
    <col min="10" max="10" width="21.85546875" style="15" bestFit="1" customWidth="1"/>
    <col min="11" max="11" width="4.7109375" style="15" customWidth="1"/>
    <col min="12" max="12" width="21.140625" style="15" customWidth="1"/>
    <col min="13" max="13" width="19.42578125" style="15" customWidth="1"/>
    <col min="14" max="14" width="12.85546875" style="15" customWidth="1"/>
    <col min="15" max="15" width="3.140625" style="15" customWidth="1"/>
    <col min="16" max="16" width="21.85546875" style="15" customWidth="1"/>
    <col min="17" max="17" width="11.42578125" style="15" customWidth="1"/>
    <col min="18" max="18" width="20.5703125" style="15" bestFit="1" customWidth="1"/>
    <col min="19" max="16384" width="11.42578125" style="15"/>
  </cols>
  <sheetData>
    <row r="1" spans="2:16" ht="15.75">
      <c r="B1" s="37"/>
      <c r="C1" s="5"/>
      <c r="D1" s="40"/>
      <c r="E1" s="463"/>
      <c r="F1" s="463"/>
      <c r="G1" s="464"/>
      <c r="H1" s="5"/>
      <c r="I1" s="4"/>
      <c r="J1" s="4"/>
      <c r="K1" s="4"/>
      <c r="L1" s="5"/>
      <c r="M1" s="5"/>
      <c r="N1" s="900">
        <v>2019</v>
      </c>
      <c r="P1" s="15" t="s">
        <v>471</v>
      </c>
    </row>
    <row r="2" spans="2:16">
      <c r="B2" s="37"/>
      <c r="C2" s="5"/>
      <c r="D2" s="5"/>
      <c r="E2" s="5"/>
      <c r="F2" s="5"/>
      <c r="G2" s="5"/>
      <c r="H2" s="5"/>
      <c r="I2" s="5"/>
      <c r="J2" s="5"/>
      <c r="K2" s="5"/>
      <c r="L2" s="5"/>
      <c r="M2" s="5"/>
      <c r="N2" s="249"/>
    </row>
    <row r="3" spans="2:16">
      <c r="B3" s="37"/>
      <c r="C3" s="5"/>
      <c r="D3" s="14"/>
      <c r="E3" s="14"/>
      <c r="F3" s="191" t="s">
        <v>1121</v>
      </c>
      <c r="G3" s="51"/>
      <c r="H3" s="51"/>
      <c r="J3" s="14"/>
      <c r="K3" s="7"/>
      <c r="L3" s="7"/>
      <c r="M3" s="251"/>
    </row>
    <row r="4" spans="2:16">
      <c r="B4" s="37"/>
      <c r="C4" s="5"/>
      <c r="D4" s="14"/>
      <c r="E4" s="8"/>
      <c r="F4" s="191" t="s">
        <v>64</v>
      </c>
      <c r="G4" s="51"/>
      <c r="H4" s="51"/>
      <c r="J4" s="8"/>
      <c r="K4" s="7"/>
      <c r="L4" s="7"/>
      <c r="M4" s="251"/>
    </row>
    <row r="5" spans="2:16">
      <c r="B5" s="37"/>
      <c r="C5" s="5"/>
      <c r="D5" s="7"/>
      <c r="E5" s="7"/>
      <c r="F5" s="132" t="str">
        <f>"Utilizing Actual / Projected Cost Data for the "&amp;N1&amp;" Rate Year"</f>
        <v>Utilizing Actual / Projected Cost Data for the 2019 Rate Year</v>
      </c>
      <c r="G5" s="51"/>
      <c r="H5" s="51"/>
      <c r="J5" s="7"/>
      <c r="K5" s="7"/>
      <c r="L5" s="7"/>
      <c r="M5" s="251"/>
    </row>
    <row r="6" spans="2:16">
      <c r="B6" s="35"/>
      <c r="C6" s="30"/>
      <c r="D6" s="7"/>
      <c r="H6" s="379"/>
      <c r="I6" s="379"/>
      <c r="J6" s="379"/>
      <c r="K6" s="379"/>
      <c r="L6" s="7"/>
      <c r="M6" s="7"/>
    </row>
    <row r="7" spans="2:16" ht="15.75">
      <c r="B7" s="35"/>
      <c r="C7" s="30"/>
      <c r="D7" s="38"/>
      <c r="E7" s="7"/>
      <c r="F7" s="369" t="s">
        <v>1289</v>
      </c>
      <c r="G7" s="190"/>
      <c r="H7" s="7"/>
      <c r="I7" s="7"/>
      <c r="J7" s="7"/>
      <c r="K7" s="7"/>
      <c r="L7" s="38"/>
      <c r="M7" s="38"/>
      <c r="N7" s="38"/>
    </row>
    <row r="8" spans="2:16">
      <c r="B8" s="35"/>
      <c r="C8" s="30"/>
      <c r="D8" s="7"/>
      <c r="E8" s="7"/>
      <c r="F8" s="465"/>
      <c r="G8" s="190"/>
      <c r="H8" s="7"/>
      <c r="I8" s="7"/>
      <c r="J8" s="7"/>
      <c r="K8" s="7"/>
      <c r="L8" s="38"/>
      <c r="M8" s="38"/>
      <c r="N8" s="38"/>
    </row>
    <row r="9" spans="2:16">
      <c r="B9" s="35" t="s">
        <v>345</v>
      </c>
      <c r="C9" s="30"/>
      <c r="D9" s="7"/>
      <c r="E9" s="7"/>
      <c r="F9" s="7"/>
      <c r="G9" s="190"/>
      <c r="H9" s="7"/>
      <c r="I9" s="7"/>
      <c r="J9" s="7"/>
      <c r="K9" s="7"/>
      <c r="L9" s="30" t="s">
        <v>292</v>
      </c>
      <c r="M9" s="38"/>
      <c r="N9" s="38"/>
    </row>
    <row r="10" spans="2:16" ht="15.75" thickBot="1">
      <c r="B10" s="381" t="s">
        <v>294</v>
      </c>
      <c r="C10" s="25"/>
      <c r="D10" s="7"/>
      <c r="E10" s="25"/>
      <c r="F10" s="7"/>
      <c r="G10" s="7"/>
      <c r="H10" s="7"/>
      <c r="I10" s="7"/>
      <c r="J10" s="7"/>
      <c r="K10" s="7"/>
      <c r="L10" s="102" t="s">
        <v>346</v>
      </c>
      <c r="M10" s="38"/>
      <c r="N10" s="38"/>
    </row>
    <row r="11" spans="2:16">
      <c r="B11" s="35">
        <v>1</v>
      </c>
      <c r="C11" s="30"/>
      <c r="D11" s="169" t="s">
        <v>288</v>
      </c>
      <c r="E11" s="7" t="str">
        <f>"(ln "&amp;B189&amp;")"</f>
        <v>(ln 115)</v>
      </c>
      <c r="F11" s="7"/>
      <c r="G11" s="53"/>
      <c r="H11" s="101"/>
      <c r="I11" s="7"/>
      <c r="J11" s="7"/>
      <c r="K11" s="7"/>
      <c r="L11" s="382">
        <f>+L189</f>
        <v>97521772.229186505</v>
      </c>
      <c r="M11" s="38"/>
      <c r="N11" s="38"/>
    </row>
    <row r="12" spans="2:16" ht="15.75" thickBot="1">
      <c r="B12" s="35"/>
      <c r="C12" s="30"/>
      <c r="E12" s="134"/>
      <c r="F12" s="8"/>
      <c r="G12" s="102" t="s">
        <v>295</v>
      </c>
      <c r="H12" s="8"/>
      <c r="I12" s="466" t="s">
        <v>296</v>
      </c>
      <c r="J12" s="466"/>
      <c r="K12" s="7"/>
      <c r="L12" s="53"/>
      <c r="M12" s="38"/>
      <c r="N12" s="38"/>
    </row>
    <row r="13" spans="2:16">
      <c r="B13" s="35">
        <f>+B11+1</f>
        <v>2</v>
      </c>
      <c r="C13" s="30"/>
      <c r="D13" s="467" t="s">
        <v>344</v>
      </c>
      <c r="E13" s="134" t="s">
        <v>1095</v>
      </c>
      <c r="F13" s="8"/>
      <c r="G13" s="49">
        <f>+'PSO WS H Rev Credits'!M51</f>
        <v>6362726.8883999996</v>
      </c>
      <c r="H13" s="8"/>
      <c r="I13" s="11" t="s">
        <v>306</v>
      </c>
      <c r="J13" s="12">
        <v>1</v>
      </c>
      <c r="K13" s="8"/>
      <c r="L13" s="902">
        <f>+J13*G13</f>
        <v>6362726.8883999996</v>
      </c>
      <c r="M13" s="38"/>
      <c r="N13" s="38"/>
    </row>
    <row r="14" spans="2:16">
      <c r="B14" s="35"/>
      <c r="C14" s="30"/>
      <c r="D14" s="467"/>
      <c r="E14" s="134"/>
      <c r="F14" s="8"/>
      <c r="G14" s="49"/>
      <c r="H14" s="8"/>
      <c r="I14" s="11"/>
      <c r="J14" s="12"/>
      <c r="K14" s="8"/>
      <c r="L14" s="902"/>
      <c r="M14" s="38"/>
      <c r="N14" s="38"/>
    </row>
    <row r="15" spans="2:16">
      <c r="B15" s="35">
        <f>+B13+1</f>
        <v>3</v>
      </c>
      <c r="C15" s="30"/>
      <c r="D15" s="169" t="s">
        <v>584</v>
      </c>
      <c r="E15" s="134" t="s">
        <v>1124</v>
      </c>
      <c r="F15" s="8"/>
      <c r="G15" s="901"/>
      <c r="H15" s="8"/>
      <c r="I15" s="11"/>
      <c r="J15" s="12"/>
      <c r="K15" s="7"/>
      <c r="L15" s="901">
        <f>+'PSO WS B - Facility credits'!D8</f>
        <v>0</v>
      </c>
      <c r="M15" s="38"/>
      <c r="N15" s="38"/>
    </row>
    <row r="16" spans="2:16">
      <c r="B16" s="35"/>
      <c r="C16" s="30"/>
      <c r="E16" s="134"/>
      <c r="F16" s="8"/>
      <c r="G16" s="25"/>
      <c r="H16" s="8"/>
      <c r="I16" s="716"/>
      <c r="J16" s="716"/>
      <c r="K16" s="7"/>
      <c r="L16" s="53"/>
      <c r="M16" s="38"/>
      <c r="N16" s="38"/>
    </row>
    <row r="17" spans="2:14" ht="15.75" thickBot="1">
      <c r="B17" s="35">
        <f>+B15+1</f>
        <v>4</v>
      </c>
      <c r="C17" s="30"/>
      <c r="D17" s="338" t="s">
        <v>46</v>
      </c>
      <c r="E17" s="134" t="str">
        <f>"(ln "&amp;B11&amp;" less ln "&amp;B13&amp;" plus ln " &amp;B15&amp;")"</f>
        <v>(ln 1 less ln 2 plus ln 3)</v>
      </c>
      <c r="F17" s="7"/>
      <c r="H17" s="8"/>
      <c r="I17" s="11"/>
      <c r="J17" s="8"/>
      <c r="K17" s="8"/>
      <c r="L17" s="270">
        <f>+L11-L13+L15</f>
        <v>91159045.340786502</v>
      </c>
      <c r="M17" s="38"/>
      <c r="N17" s="38"/>
    </row>
    <row r="18" spans="2:14" ht="15.75" thickTop="1">
      <c r="B18" s="35"/>
      <c r="C18" s="30"/>
      <c r="D18" s="467"/>
      <c r="E18" s="134"/>
      <c r="F18" s="7"/>
      <c r="H18" s="8"/>
      <c r="I18" s="11"/>
      <c r="J18" s="8"/>
      <c r="K18" s="8"/>
      <c r="L18" s="135"/>
      <c r="M18" s="38"/>
      <c r="N18" s="38"/>
    </row>
    <row r="19" spans="2:14" ht="15" customHeight="1">
      <c r="B19" s="1538" t="str">
        <f>"MEMO:  The Carrying Charge Calculations on lines "&amp;B25&amp;" to "&amp;B32&amp;" below are used in calculating project revenue requirements billed through SPP Schedule 11.  The total non-incentive revenue requirement for these projects shown on line "&amp;B22&amp;" is included in the total on line "&amp;B17&amp;"."</f>
        <v>MEMO:  The Carrying Charge Calculations on lines 7 to 12 below are used in calculating project revenue requirements billed through SPP Schedule 11.  The total non-incentive revenue requirement for these projects shown on line 5 is included in the total on line 4.</v>
      </c>
      <c r="C19" s="1538"/>
      <c r="D19" s="1538"/>
      <c r="E19" s="1538"/>
      <c r="F19" s="1538"/>
      <c r="G19" s="1538"/>
      <c r="H19" s="1538"/>
      <c r="I19" s="1538"/>
      <c r="J19" s="38"/>
      <c r="M19" s="38"/>
      <c r="N19" s="38"/>
    </row>
    <row r="20" spans="2:14" ht="18.75" customHeight="1">
      <c r="B20" s="1538"/>
      <c r="C20" s="1538"/>
      <c r="D20" s="1538"/>
      <c r="E20" s="1538"/>
      <c r="F20" s="1538"/>
      <c r="G20" s="1538"/>
      <c r="H20" s="1538"/>
      <c r="I20" s="1538"/>
      <c r="J20" s="38"/>
      <c r="K20" s="38"/>
      <c r="L20" s="38"/>
      <c r="M20" s="38"/>
      <c r="N20" s="38"/>
    </row>
    <row r="21" spans="2:14" ht="15" customHeight="1">
      <c r="B21" s="339"/>
      <c r="C21" s="339"/>
      <c r="D21" s="339"/>
      <c r="E21" s="339"/>
      <c r="F21" s="339"/>
      <c r="G21" s="339"/>
      <c r="H21" s="339"/>
      <c r="I21" s="339"/>
      <c r="M21" s="38"/>
      <c r="N21" s="38"/>
    </row>
    <row r="22" spans="2:14">
      <c r="B22" s="35">
        <f>+B17+1</f>
        <v>5</v>
      </c>
      <c r="C22" s="30"/>
      <c r="D22" s="1547" t="s">
        <v>1125</v>
      </c>
      <c r="E22" s="1548"/>
      <c r="F22" s="8"/>
      <c r="G22" s="45">
        <f>+'PSO WS F BPU ATRR'!L18</f>
        <v>7470466.2267492693</v>
      </c>
      <c r="H22" s="8"/>
      <c r="I22" s="11" t="s">
        <v>306</v>
      </c>
      <c r="J22" s="12">
        <v>1</v>
      </c>
      <c r="K22" s="7"/>
      <c r="L22" s="135">
        <f>+J22*G22</f>
        <v>7470466.2267492693</v>
      </c>
      <c r="M22" s="38"/>
      <c r="N22" s="38"/>
    </row>
    <row r="23" spans="2:14">
      <c r="B23" s="35"/>
      <c r="C23" s="30"/>
      <c r="D23" s="1548"/>
      <c r="E23" s="1548"/>
      <c r="F23" s="8"/>
      <c r="G23" s="45"/>
      <c r="H23" s="8"/>
      <c r="I23" s="8"/>
      <c r="J23" s="12"/>
      <c r="K23" s="7"/>
      <c r="L23" s="135"/>
      <c r="M23" s="38"/>
      <c r="N23" s="38"/>
    </row>
    <row r="24" spans="2:14">
      <c r="B24" s="35">
        <f>+B22+1</f>
        <v>6</v>
      </c>
      <c r="C24" s="30"/>
      <c r="D24" s="467" t="s">
        <v>47</v>
      </c>
      <c r="E24" s="134"/>
      <c r="F24" s="7"/>
      <c r="G24" s="468"/>
      <c r="H24" s="7"/>
      <c r="I24" s="5"/>
      <c r="J24" s="7"/>
      <c r="K24" s="7"/>
      <c r="M24" s="38"/>
      <c r="N24" s="38"/>
    </row>
    <row r="25" spans="2:14">
      <c r="B25" s="35">
        <f>B24+1</f>
        <v>7</v>
      </c>
      <c r="C25" s="30"/>
      <c r="D25" s="14" t="s">
        <v>417</v>
      </c>
      <c r="E25" s="7" t="str">
        <f>"(ln "&amp;B11&amp;"/ ln "&amp;B78&amp;" x 100%)"</f>
        <v>(ln 1/ ln 37 x 100%)</v>
      </c>
      <c r="F25" s="30"/>
      <c r="G25" s="30"/>
      <c r="H25" s="30"/>
      <c r="I25" s="271"/>
      <c r="J25" s="271"/>
      <c r="K25" s="271"/>
      <c r="L25" s="103">
        <f>IF(L78=0,0,(L11)/L78)</f>
        <v>0.1483107919567033</v>
      </c>
      <c r="M25" s="38"/>
      <c r="N25" s="38"/>
    </row>
    <row r="26" spans="2:14">
      <c r="B26" s="35">
        <f>B25+1</f>
        <v>8</v>
      </c>
      <c r="C26" s="30"/>
      <c r="D26" s="14" t="s">
        <v>418</v>
      </c>
      <c r="E26" s="7" t="str">
        <f>"(ln "&amp;B25&amp;" / 12)"</f>
        <v>(ln 7 / 12)</v>
      </c>
      <c r="F26" s="30"/>
      <c r="G26" s="30"/>
      <c r="H26" s="30"/>
      <c r="I26" s="271"/>
      <c r="J26" s="271"/>
      <c r="K26" s="271"/>
      <c r="L26" s="34">
        <f>L25/12</f>
        <v>1.2359232663058608E-2</v>
      </c>
      <c r="M26" s="38"/>
      <c r="N26" s="38"/>
    </row>
    <row r="27" spans="2:14">
      <c r="B27" s="35"/>
      <c r="C27" s="30"/>
      <c r="D27" s="14"/>
      <c r="E27" s="7"/>
      <c r="F27" s="30"/>
      <c r="G27" s="30"/>
      <c r="H27" s="30"/>
      <c r="I27" s="271"/>
      <c r="J27" s="271"/>
      <c r="K27" s="271"/>
      <c r="L27" s="34"/>
      <c r="M27" s="38"/>
      <c r="N27" s="38"/>
    </row>
    <row r="28" spans="2:14">
      <c r="B28" s="35">
        <f>B26+1</f>
        <v>9</v>
      </c>
      <c r="C28" s="30"/>
      <c r="D28" s="467" t="str">
        <f>"NET PLANT CARRYING CHARGE ON LINE "&amp;B25&amp;" , W/O DEPRECIATION (w/o incentives) (Note B)"</f>
        <v>NET PLANT CARRYING CHARGE ON LINE 7 , W/O DEPRECIATION (w/o incentives) (Note B)</v>
      </c>
      <c r="E28" s="7"/>
      <c r="F28" s="30"/>
      <c r="G28" s="30"/>
      <c r="H28" s="30"/>
      <c r="I28" s="271"/>
      <c r="J28" s="271"/>
      <c r="K28" s="271"/>
      <c r="L28" s="34"/>
      <c r="M28" s="38"/>
      <c r="N28" s="38"/>
    </row>
    <row r="29" spans="2:14">
      <c r="B29" s="35">
        <f>B28+1</f>
        <v>10</v>
      </c>
      <c r="C29" s="30"/>
      <c r="D29" s="14" t="s">
        <v>417</v>
      </c>
      <c r="E29" s="7" t="str">
        <f>"( (ln "&amp;B11&amp;" - ln "&amp;B149&amp;") / ln "&amp;B78&amp;" x 100%)"</f>
        <v>( (ln 1 - ln 84) / ln 37 x 100%)</v>
      </c>
      <c r="F29" s="30"/>
      <c r="G29" s="30"/>
      <c r="H29" s="30"/>
      <c r="I29" s="271"/>
      <c r="J29" s="271"/>
      <c r="K29" s="271"/>
      <c r="L29" s="103">
        <f>IF(L78=0,0,(L11-L149)/L78)</f>
        <v>0.11522430269379706</v>
      </c>
      <c r="M29" s="38"/>
      <c r="N29" s="38"/>
    </row>
    <row r="30" spans="2:14">
      <c r="B30" s="35"/>
      <c r="C30" s="30"/>
      <c r="D30" s="14"/>
      <c r="E30" s="7"/>
      <c r="F30" s="30"/>
      <c r="G30" s="30"/>
      <c r="H30" s="30"/>
      <c r="I30" s="271"/>
      <c r="J30" s="271"/>
      <c r="K30" s="271"/>
      <c r="L30" s="34"/>
      <c r="M30" s="38"/>
      <c r="N30" s="38"/>
    </row>
    <row r="31" spans="2:14">
      <c r="B31" s="35">
        <f>B29+1</f>
        <v>11</v>
      </c>
      <c r="C31" s="30"/>
      <c r="D31" s="467" t="str">
        <f>"NET PLANT CARRYING CHARGE ON LINE "&amp;B28&amp;", W/O  INCOME TAXES, RETURN  (Note B)"</f>
        <v>NET PLANT CARRYING CHARGE ON LINE 9, W/O  INCOME TAXES, RETURN  (Note B)</v>
      </c>
      <c r="E31" s="7"/>
      <c r="F31" s="30"/>
      <c r="G31" s="30"/>
      <c r="H31" s="30"/>
      <c r="I31" s="271"/>
      <c r="J31" s="271"/>
      <c r="K31" s="271"/>
      <c r="L31" s="294"/>
      <c r="M31" s="38"/>
      <c r="N31" s="38"/>
    </row>
    <row r="32" spans="2:14">
      <c r="B32" s="35">
        <f>B31+1</f>
        <v>12</v>
      </c>
      <c r="C32" s="30"/>
      <c r="D32" s="14" t="s">
        <v>417</v>
      </c>
      <c r="E32" s="7" t="str">
        <f>"( (ln "&amp;B11&amp;" - ln "&amp;B149&amp;" - ln "&amp;B178&amp;" - ln "&amp;B180&amp;") / ln "&amp;B78&amp;" x 100%)"</f>
        <v>( (ln 1 - ln 84 - ln 109 - ln 110) / ln 37 x 100%)</v>
      </c>
      <c r="F32" s="30"/>
      <c r="G32" s="30"/>
      <c r="H32" s="30"/>
      <c r="I32" s="271"/>
      <c r="J32" s="271"/>
      <c r="K32" s="271"/>
      <c r="L32" s="131">
        <f>IF(L78=0,0,(L11-L149-L178-L180)/L78)</f>
        <v>4.4139645672438638E-2</v>
      </c>
      <c r="M32" s="38"/>
      <c r="N32" s="38"/>
    </row>
    <row r="33" spans="2:16">
      <c r="B33" s="35"/>
      <c r="C33" s="30"/>
      <c r="D33" s="14"/>
      <c r="E33" s="7"/>
      <c r="F33" s="30"/>
      <c r="G33" s="30"/>
      <c r="H33" s="30"/>
      <c r="I33" s="271"/>
      <c r="J33" s="271"/>
      <c r="K33" s="271"/>
      <c r="L33" s="103"/>
      <c r="M33" s="38"/>
      <c r="N33" s="38"/>
    </row>
    <row r="34" spans="2:16">
      <c r="B34" s="35">
        <f>B32+1</f>
        <v>13</v>
      </c>
      <c r="C34" s="30"/>
      <c r="D34" s="169" t="s">
        <v>1163</v>
      </c>
      <c r="E34" s="7"/>
      <c r="F34" s="30"/>
      <c r="G34" s="30"/>
      <c r="H34" s="30"/>
      <c r="I34" s="271"/>
      <c r="J34" s="271"/>
      <c r="K34" s="271"/>
      <c r="L34" s="117">
        <f>+'PSO WS G BPU ATRR'!P18</f>
        <v>0</v>
      </c>
      <c r="M34" s="38"/>
      <c r="N34" s="38"/>
    </row>
    <row r="35" spans="2:16">
      <c r="B35" s="35"/>
      <c r="C35" s="30"/>
      <c r="D35" s="5"/>
      <c r="E35" s="7"/>
      <c r="F35" s="30"/>
      <c r="G35" s="30"/>
      <c r="H35" s="30"/>
      <c r="I35" s="271"/>
      <c r="J35" s="271"/>
      <c r="K35" s="271"/>
      <c r="L35" s="103"/>
      <c r="M35" s="38"/>
      <c r="N35" s="38"/>
    </row>
    <row r="36" spans="2:16">
      <c r="B36" s="15"/>
      <c r="C36" s="30"/>
      <c r="D36" s="5"/>
      <c r="E36" s="7"/>
      <c r="F36" s="30"/>
      <c r="G36" s="30"/>
      <c r="H36" s="30"/>
      <c r="I36" s="271"/>
      <c r="J36" s="271"/>
      <c r="K36" s="271"/>
      <c r="L36" s="103"/>
      <c r="M36" s="38"/>
      <c r="N36" s="38"/>
    </row>
    <row r="37" spans="2:16">
      <c r="B37" s="35"/>
      <c r="C37" s="30"/>
      <c r="D37" s="5"/>
      <c r="E37" s="7"/>
      <c r="F37" s="30"/>
      <c r="G37" s="30"/>
      <c r="H37" s="30"/>
      <c r="I37" s="271"/>
      <c r="J37" s="271"/>
      <c r="K37" s="271"/>
      <c r="L37" s="103"/>
      <c r="M37" s="38"/>
      <c r="N37" s="38"/>
    </row>
    <row r="38" spans="2:16">
      <c r="B38" s="35"/>
      <c r="C38" s="30"/>
      <c r="D38" s="5"/>
      <c r="E38" s="7"/>
      <c r="F38" s="30"/>
      <c r="G38" s="30"/>
      <c r="H38" s="30"/>
      <c r="I38" s="271"/>
      <c r="J38" s="271"/>
      <c r="K38" s="271"/>
      <c r="L38" s="103"/>
      <c r="M38" s="38"/>
      <c r="N38" s="38"/>
    </row>
    <row r="39" spans="2:16">
      <c r="B39" s="37"/>
      <c r="C39" s="5"/>
      <c r="D39" s="14"/>
      <c r="E39" s="14"/>
      <c r="G39" s="101"/>
      <c r="H39" s="14"/>
      <c r="I39" s="14"/>
      <c r="J39" s="14"/>
      <c r="K39" s="14"/>
      <c r="L39" s="14"/>
      <c r="M39" s="38"/>
      <c r="N39" s="38"/>
    </row>
    <row r="40" spans="2:16">
      <c r="B40" s="37"/>
      <c r="C40" s="5"/>
      <c r="D40" s="14"/>
      <c r="E40" s="14"/>
      <c r="F40" s="30"/>
      <c r="G40" s="101"/>
      <c r="H40" s="14"/>
      <c r="I40" s="14"/>
      <c r="J40" s="14"/>
      <c r="K40" s="14"/>
      <c r="L40" s="14"/>
      <c r="M40" s="38"/>
      <c r="N40" s="38"/>
      <c r="P40" s="469"/>
    </row>
    <row r="41" spans="2:16">
      <c r="B41" s="37"/>
      <c r="C41" s="5"/>
      <c r="D41" s="14"/>
      <c r="E41" s="14"/>
      <c r="F41" s="30" t="str">
        <f>F3</f>
        <v xml:space="preserve">AEP West SPP Member Operating Companies </v>
      </c>
      <c r="G41" s="101"/>
      <c r="H41" s="14"/>
      <c r="I41" s="14"/>
      <c r="J41" s="14"/>
      <c r="K41" s="14"/>
      <c r="L41" s="14"/>
      <c r="M41" s="38"/>
      <c r="N41" s="38"/>
      <c r="P41" s="469"/>
    </row>
    <row r="42" spans="2:16">
      <c r="B42" s="37"/>
      <c r="C42" s="5"/>
      <c r="D42" s="14"/>
      <c r="E42" s="8"/>
      <c r="F42" s="30" t="str">
        <f>F4</f>
        <v>Transmission Cost of Service Formula Rate</v>
      </c>
      <c r="G42" s="8"/>
      <c r="H42" s="8"/>
      <c r="I42" s="8"/>
      <c r="J42" s="8"/>
      <c r="K42" s="8"/>
      <c r="L42" s="8"/>
      <c r="M42" s="38"/>
      <c r="N42" s="38"/>
      <c r="P42" s="272"/>
    </row>
    <row r="43" spans="2:16">
      <c r="B43" s="37"/>
      <c r="C43" s="5"/>
      <c r="D43" s="14"/>
      <c r="E43" s="8"/>
      <c r="F43" s="11" t="str">
        <f>F5</f>
        <v>Utilizing Actual / Projected Cost Data for the 2019 Rate Year</v>
      </c>
      <c r="G43" s="8"/>
      <c r="H43" s="8"/>
      <c r="I43" s="8"/>
      <c r="J43" s="8"/>
      <c r="K43" s="8"/>
      <c r="L43" s="8"/>
      <c r="M43" s="38"/>
      <c r="N43" s="38"/>
      <c r="P43" s="272"/>
    </row>
    <row r="44" spans="2:16">
      <c r="B44" s="37"/>
      <c r="C44" s="5"/>
      <c r="D44" s="14"/>
      <c r="E44" s="8"/>
      <c r="F44" s="30"/>
      <c r="G44" s="8"/>
      <c r="H44" s="8"/>
      <c r="I44" s="8"/>
      <c r="J44" s="8"/>
      <c r="K44" s="8"/>
      <c r="L44" s="8"/>
      <c r="M44" s="38"/>
      <c r="N44" s="38"/>
      <c r="P44" s="272"/>
    </row>
    <row r="45" spans="2:16">
      <c r="B45" s="37"/>
      <c r="C45" s="5"/>
      <c r="D45" s="14"/>
      <c r="E45" s="8"/>
      <c r="F45" s="30" t="str">
        <f>F7</f>
        <v>PUBLIC SERVICE COMPANY OF OKLAHOMA</v>
      </c>
      <c r="G45" s="8"/>
      <c r="H45" s="8"/>
      <c r="I45" s="8"/>
      <c r="J45" s="8"/>
      <c r="K45" s="8"/>
      <c r="L45" s="8"/>
      <c r="M45" s="38"/>
      <c r="N45" s="38"/>
      <c r="P45" s="272"/>
    </row>
    <row r="46" spans="2:16">
      <c r="B46" s="37"/>
      <c r="C46" s="5"/>
      <c r="D46" s="14"/>
      <c r="E46" s="11"/>
      <c r="F46" s="11"/>
      <c r="G46" s="11"/>
      <c r="H46" s="11"/>
      <c r="I46" s="11"/>
      <c r="J46" s="11"/>
      <c r="K46" s="11"/>
      <c r="L46" s="8"/>
      <c r="M46" s="38"/>
      <c r="N46" s="38"/>
      <c r="P46" s="272"/>
    </row>
    <row r="47" spans="2:16">
      <c r="B47" s="37"/>
      <c r="C47" s="5"/>
      <c r="D47" s="30" t="s">
        <v>298</v>
      </c>
      <c r="E47" s="30" t="s">
        <v>299</v>
      </c>
      <c r="F47" s="30"/>
      <c r="G47" s="30" t="s">
        <v>300</v>
      </c>
      <c r="H47" s="8" t="s">
        <v>291</v>
      </c>
      <c r="I47" s="1541" t="s">
        <v>301</v>
      </c>
      <c r="J47" s="1542"/>
      <c r="K47" s="8"/>
      <c r="L47" s="379" t="s">
        <v>302</v>
      </c>
      <c r="M47" s="38"/>
      <c r="N47" s="38"/>
    </row>
    <row r="48" spans="2:16">
      <c r="B48" s="15"/>
      <c r="C48" s="5"/>
      <c r="D48" s="38"/>
      <c r="E48" s="38"/>
      <c r="F48" s="38"/>
      <c r="G48" s="79"/>
      <c r="H48" s="8"/>
      <c r="I48" s="8"/>
      <c r="J48" s="470"/>
      <c r="K48" s="8"/>
      <c r="L48" s="5"/>
      <c r="M48" s="38"/>
      <c r="N48" s="38"/>
    </row>
    <row r="49" spans="2:16" ht="15.75">
      <c r="B49" s="76"/>
      <c r="C49" s="30"/>
      <c r="D49" s="38"/>
      <c r="E49" s="471" t="s">
        <v>277</v>
      </c>
      <c r="F49" s="472"/>
      <c r="G49" s="8"/>
      <c r="H49" s="8"/>
      <c r="I49" s="8"/>
      <c r="J49" s="30"/>
      <c r="K49" s="8"/>
      <c r="L49" s="377" t="s">
        <v>295</v>
      </c>
      <c r="M49" s="38"/>
      <c r="N49" s="38"/>
      <c r="P49" s="469"/>
    </row>
    <row r="50" spans="2:16" ht="15.75">
      <c r="B50" s="15"/>
      <c r="C50" s="25"/>
      <c r="D50" s="473" t="s">
        <v>276</v>
      </c>
      <c r="E50" s="474" t="s">
        <v>289</v>
      </c>
      <c r="F50" s="8"/>
      <c r="G50" s="473" t="s">
        <v>263</v>
      </c>
      <c r="H50" s="121"/>
      <c r="I50" s="1539" t="s">
        <v>296</v>
      </c>
      <c r="J50" s="1540"/>
      <c r="K50" s="121"/>
      <c r="L50" s="473" t="s">
        <v>292</v>
      </c>
      <c r="M50" s="38"/>
      <c r="N50" s="38"/>
    </row>
    <row r="51" spans="2:16">
      <c r="B51" s="254" t="str">
        <f>B9</f>
        <v>Line</v>
      </c>
      <c r="C51" s="30"/>
      <c r="D51" s="14"/>
      <c r="E51" s="8"/>
      <c r="F51" s="8"/>
      <c r="G51" s="475" t="s">
        <v>168</v>
      </c>
      <c r="H51" s="8"/>
      <c r="I51" s="8"/>
      <c r="J51" s="8"/>
      <c r="K51" s="8"/>
      <c r="L51" s="8"/>
      <c r="M51" s="38"/>
      <c r="N51" s="38"/>
    </row>
    <row r="52" spans="2:16" ht="15.75" thickBot="1">
      <c r="B52" s="381" t="str">
        <f>B10</f>
        <v>No.</v>
      </c>
      <c r="C52" s="30"/>
      <c r="D52" s="14" t="s">
        <v>264</v>
      </c>
      <c r="E52" s="9"/>
      <c r="F52" s="9"/>
      <c r="G52" s="8"/>
      <c r="H52" s="8"/>
      <c r="I52" s="11"/>
      <c r="J52" s="8"/>
      <c r="K52" s="8"/>
      <c r="L52" s="8"/>
      <c r="M52" s="38"/>
      <c r="N52" s="38"/>
    </row>
    <row r="53" spans="2:16">
      <c r="B53" s="35">
        <f>+B34+1</f>
        <v>14</v>
      </c>
      <c r="C53" s="30"/>
      <c r="D53" s="16" t="s">
        <v>303</v>
      </c>
      <c r="E53" s="8" t="str">
        <f>"(Worksheet A ln "&amp;'PSO WS A RB Support '!A17&amp;".E)"</f>
        <v>(Worksheet A ln 3.E)</v>
      </c>
      <c r="F53" s="259"/>
      <c r="G53" s="45">
        <f>+'PSO WS A RB Support '!G17</f>
        <v>1555683570.659205</v>
      </c>
      <c r="H53" s="45"/>
      <c r="I53" s="11" t="s">
        <v>304</v>
      </c>
      <c r="J53" s="12">
        <v>0</v>
      </c>
      <c r="K53" s="8"/>
      <c r="L53" s="45">
        <f>+J53*G53</f>
        <v>0</v>
      </c>
      <c r="M53" s="38"/>
      <c r="N53" s="38"/>
    </row>
    <row r="54" spans="2:16">
      <c r="B54" s="35">
        <f t="shared" ref="B54:B62" si="0">+B53+1</f>
        <v>15</v>
      </c>
      <c r="C54" s="30"/>
      <c r="D54" s="16" t="s">
        <v>32</v>
      </c>
      <c r="E54" s="8" t="str">
        <f>"(Worksheet A ln "&amp;'PSO WS A RB Support '!A21&amp;".E)"</f>
        <v>(Worksheet A ln 6.E)</v>
      </c>
      <c r="F54" s="259"/>
      <c r="G54" s="45">
        <f>-'PSO WS A RB Support '!G21</f>
        <v>-36352139</v>
      </c>
      <c r="H54" s="45"/>
      <c r="I54" s="11" t="s">
        <v>304</v>
      </c>
      <c r="J54" s="12">
        <v>0</v>
      </c>
      <c r="K54" s="8"/>
      <c r="L54" s="45">
        <f>+J54*G54</f>
        <v>0</v>
      </c>
      <c r="M54" s="38"/>
      <c r="N54" s="38"/>
    </row>
    <row r="55" spans="2:16">
      <c r="B55" s="35">
        <f t="shared" si="0"/>
        <v>16</v>
      </c>
      <c r="C55" s="77"/>
      <c r="D55" s="170" t="s">
        <v>305</v>
      </c>
      <c r="E55" s="274" t="str">
        <f>"(Worksheet A ln "&amp;'PSO WS A RB Support '!A25&amp;".E &amp; Ln "&amp;B205&amp;")"</f>
        <v>(Worksheet A ln 9.E &amp; Ln 119)</v>
      </c>
      <c r="F55" s="370"/>
      <c r="G55" s="45">
        <f>+'PSO WS A RB Support '!G25</f>
        <v>926734833.48181653</v>
      </c>
      <c r="H55" s="45"/>
      <c r="I55" s="118" t="s">
        <v>306</v>
      </c>
      <c r="J55" s="8"/>
      <c r="K55" s="115"/>
      <c r="L55" s="119">
        <f>+L205</f>
        <v>862053961.48181653</v>
      </c>
      <c r="M55" s="38"/>
      <c r="N55" s="38"/>
    </row>
    <row r="56" spans="2:16">
      <c r="B56" s="35">
        <f t="shared" si="0"/>
        <v>17</v>
      </c>
      <c r="C56" s="77"/>
      <c r="D56" s="16" t="s">
        <v>33</v>
      </c>
      <c r="E56" s="8" t="str">
        <f>"(Worksheet A ln "&amp;'PSO WS A RB Support '!A29&amp;".E)"</f>
        <v>(Worksheet A ln 12.E)</v>
      </c>
      <c r="F56" s="370"/>
      <c r="G56" s="45">
        <f>-+'PSO WS A RB Support '!G29</f>
        <v>0</v>
      </c>
      <c r="H56" s="45"/>
      <c r="I56" s="118" t="s">
        <v>297</v>
      </c>
      <c r="J56" s="12">
        <f>+$L$207</f>
        <v>0.93020563200695838</v>
      </c>
      <c r="K56" s="115"/>
      <c r="L56" s="119">
        <f>+G56*J56</f>
        <v>0</v>
      </c>
      <c r="M56" s="38"/>
      <c r="N56" s="38"/>
    </row>
    <row r="57" spans="2:16">
      <c r="B57" s="35">
        <f>+B56+1</f>
        <v>18</v>
      </c>
      <c r="C57" s="77"/>
      <c r="D57" s="14" t="s">
        <v>307</v>
      </c>
      <c r="E57" s="8" t="str">
        <f>"(Worksheet A ln "&amp;'PSO WS A RB Support '!A31&amp;".E)"</f>
        <v>(Worksheet A ln 13.E)</v>
      </c>
      <c r="F57" s="259"/>
      <c r="G57" s="45">
        <f>+'PSO WS A RB Support '!G31</f>
        <v>2661179610.9862051</v>
      </c>
      <c r="H57" s="45"/>
      <c r="I57" s="11" t="s">
        <v>304</v>
      </c>
      <c r="J57" s="12">
        <v>0</v>
      </c>
      <c r="K57" s="8"/>
      <c r="L57" s="45">
        <f>+J57*G57</f>
        <v>0</v>
      </c>
      <c r="M57" s="38"/>
      <c r="N57" s="38"/>
    </row>
    <row r="58" spans="2:16">
      <c r="B58" s="35">
        <f t="shared" si="0"/>
        <v>19</v>
      </c>
      <c r="C58" s="77"/>
      <c r="D58" s="16" t="s">
        <v>30</v>
      </c>
      <c r="E58" s="8" t="str">
        <f>"(Worksheet A ln "&amp;'PSO WS A RB Support '!A33&amp;".E)"</f>
        <v>(Worksheet A ln 14.E)</v>
      </c>
      <c r="F58" s="259"/>
      <c r="G58" s="45">
        <f>-+'PSO WS A RB Support '!G33</f>
        <v>0</v>
      </c>
      <c r="H58" s="45"/>
      <c r="I58" s="11" t="s">
        <v>304</v>
      </c>
      <c r="J58" s="12">
        <v>0</v>
      </c>
      <c r="K58" s="8"/>
      <c r="L58" s="45">
        <f>+G58*J58</f>
        <v>0</v>
      </c>
      <c r="M58" s="38"/>
      <c r="N58" s="38"/>
    </row>
    <row r="59" spans="2:16">
      <c r="B59" s="35">
        <f t="shared" si="0"/>
        <v>20</v>
      </c>
      <c r="C59" s="77"/>
      <c r="D59" s="14" t="s">
        <v>308</v>
      </c>
      <c r="E59" s="8" t="str">
        <f>"(Worksheet A ln "&amp;'PSO WS A RB Support '!A35&amp;".E)"</f>
        <v>(Worksheet A ln 15.E)</v>
      </c>
      <c r="F59" s="259"/>
      <c r="G59" s="45">
        <f>+'PSO WS A RB Support '!G35</f>
        <v>169199328.4564715</v>
      </c>
      <c r="H59" s="45"/>
      <c r="I59" s="11" t="s">
        <v>309</v>
      </c>
      <c r="J59" s="12">
        <f>+$L$217</f>
        <v>8.2008465586260154E-2</v>
      </c>
      <c r="K59" s="8"/>
      <c r="L59" s="45">
        <f>+J59*G59</f>
        <v>13875777.304940872</v>
      </c>
      <c r="M59" s="38"/>
      <c r="N59" s="38"/>
    </row>
    <row r="60" spans="2:16">
      <c r="B60" s="35">
        <f t="shared" si="0"/>
        <v>21</v>
      </c>
      <c r="C60" s="77"/>
      <c r="D60" s="16" t="s">
        <v>31</v>
      </c>
      <c r="E60" s="8" t="str">
        <f>"(Worksheet A ln "&amp;'PSO WS A RB Support '!A37&amp;".E)"</f>
        <v>(Worksheet A ln 16.E)</v>
      </c>
      <c r="F60" s="259"/>
      <c r="G60" s="45">
        <f>-'PSO WS A RB Support '!G37</f>
        <v>-556590</v>
      </c>
      <c r="H60" s="45"/>
      <c r="I60" s="11" t="s">
        <v>309</v>
      </c>
      <c r="J60" s="12">
        <f>+$L$217</f>
        <v>8.2008465586260154E-2</v>
      </c>
      <c r="K60" s="8"/>
      <c r="L60" s="45">
        <f>+G60*J60</f>
        <v>-45645.091860656539</v>
      </c>
      <c r="M60" s="38"/>
      <c r="N60" s="38"/>
    </row>
    <row r="61" spans="2:16" ht="15.75" thickBot="1">
      <c r="B61" s="35">
        <f t="shared" si="0"/>
        <v>22</v>
      </c>
      <c r="C61" s="77"/>
      <c r="D61" s="14" t="s">
        <v>310</v>
      </c>
      <c r="E61" s="8" t="str">
        <f>"(Worksheet A ln "&amp;'PSO WS A RB Support '!A39&amp;".E)"</f>
        <v>(Worksheet A ln 17.E)</v>
      </c>
      <c r="F61" s="259"/>
      <c r="G61" s="46">
        <f>+'PSO WS A RB Support '!G39</f>
        <v>142400718.69847751</v>
      </c>
      <c r="H61" s="45"/>
      <c r="I61" s="11" t="s">
        <v>309</v>
      </c>
      <c r="J61" s="12">
        <f>+$L$217</f>
        <v>8.2008465586260154E-2</v>
      </c>
      <c r="K61" s="8"/>
      <c r="L61" s="46">
        <f>+J61*G61</f>
        <v>11678064.438842805</v>
      </c>
      <c r="M61" s="38"/>
      <c r="N61" s="38"/>
      <c r="O61" s="476"/>
    </row>
    <row r="62" spans="2:16" ht="15.75">
      <c r="B62" s="76">
        <f t="shared" si="0"/>
        <v>23</v>
      </c>
      <c r="C62" s="77"/>
      <c r="D62" s="14" t="s">
        <v>262</v>
      </c>
      <c r="E62" s="101" t="str">
        <f>"(sum lns "&amp;B53&amp;" to "&amp;B61&amp;")"</f>
        <v>(sum lns 14 to 22)</v>
      </c>
      <c r="F62" s="163"/>
      <c r="G62" s="45">
        <f>SUM(G53:G61)</f>
        <v>5418289333.282176</v>
      </c>
      <c r="H62" s="45"/>
      <c r="I62" s="79" t="s">
        <v>1104</v>
      </c>
      <c r="J62" s="185">
        <f>IF(G62=0,0,L62/G62)</f>
        <v>0.1638085571919968</v>
      </c>
      <c r="K62" s="8"/>
      <c r="L62" s="45">
        <f>SUM(L53:L61)</f>
        <v>887562158.13373947</v>
      </c>
      <c r="M62" s="38"/>
      <c r="N62" s="38"/>
      <c r="O62" s="476"/>
    </row>
    <row r="63" spans="2:16" ht="15.75">
      <c r="B63" s="76"/>
      <c r="C63" s="30"/>
      <c r="D63" s="14"/>
      <c r="E63" s="198"/>
      <c r="F63" s="163"/>
      <c r="G63" s="500"/>
      <c r="H63" s="45"/>
      <c r="I63" s="122" t="s">
        <v>401</v>
      </c>
      <c r="J63" s="123">
        <f>+G55/(++G55+G57)</f>
        <v>0.25829345928543263</v>
      </c>
      <c r="K63" s="8"/>
      <c r="L63" s="45"/>
      <c r="M63" s="38"/>
      <c r="N63" s="38"/>
      <c r="O63" s="476"/>
    </row>
    <row r="64" spans="2:16">
      <c r="B64" s="35">
        <f>+B62+1</f>
        <v>24</v>
      </c>
      <c r="C64" s="30"/>
      <c r="D64" s="14" t="s">
        <v>244</v>
      </c>
      <c r="E64" s="9"/>
      <c r="F64" s="9"/>
      <c r="G64" s="500"/>
      <c r="H64" s="124"/>
      <c r="I64" s="11"/>
      <c r="J64" s="125"/>
      <c r="K64" s="8"/>
      <c r="L64" s="45"/>
      <c r="M64" s="38"/>
      <c r="N64" s="38"/>
      <c r="O64" s="2"/>
    </row>
    <row r="65" spans="2:15">
      <c r="B65" s="35">
        <f t="shared" ref="B65:B74" si="1">+B64+1</f>
        <v>25</v>
      </c>
      <c r="C65" s="30"/>
      <c r="D65" s="16" t="str">
        <f>+D53</f>
        <v xml:space="preserve">  Production</v>
      </c>
      <c r="E65" s="8" t="str">
        <f>"(Worksheet A ln "&amp;'PSO WS A RB Support '!A49&amp;".E)"</f>
        <v>(Worksheet A ln 22.E)</v>
      </c>
      <c r="F65" s="259"/>
      <c r="G65" s="45">
        <f>+'PSO WS A RB Support '!G49</f>
        <v>809499594.23084188</v>
      </c>
      <c r="H65" s="45"/>
      <c r="I65" s="11" t="s">
        <v>304</v>
      </c>
      <c r="J65" s="12">
        <v>0</v>
      </c>
      <c r="K65" s="8"/>
      <c r="L65" s="45">
        <f>+J65*G65</f>
        <v>0</v>
      </c>
      <c r="M65" s="38"/>
      <c r="N65" s="38"/>
      <c r="O65" s="2"/>
    </row>
    <row r="66" spans="2:15">
      <c r="B66" s="35">
        <f t="shared" si="1"/>
        <v>26</v>
      </c>
      <c r="C66" s="30"/>
      <c r="D66" s="16" t="s">
        <v>32</v>
      </c>
      <c r="E66" s="8" t="str">
        <f>"(Worksheet A ln "&amp;'PSO WS A RB Support '!A53&amp;".E)"</f>
        <v>(Worksheet A ln 25.E)</v>
      </c>
      <c r="F66" s="259"/>
      <c r="G66" s="45">
        <f>-+'PSO WS A RB Support '!G53</f>
        <v>-13111738.3374999</v>
      </c>
      <c r="H66" s="45"/>
      <c r="I66" s="11" t="s">
        <v>304</v>
      </c>
      <c r="J66" s="12">
        <v>0</v>
      </c>
      <c r="K66" s="8"/>
      <c r="L66" s="45">
        <f>+J66*G66</f>
        <v>0</v>
      </c>
      <c r="M66" s="38"/>
      <c r="N66" s="38"/>
      <c r="O66" s="2"/>
    </row>
    <row r="67" spans="2:15" ht="15.75">
      <c r="B67" s="35">
        <f t="shared" si="1"/>
        <v>27</v>
      </c>
      <c r="C67" s="77"/>
      <c r="D67" s="170" t="str">
        <f>D55</f>
        <v xml:space="preserve">  Transmission</v>
      </c>
      <c r="E67" s="8" t="str">
        <f>"(Worksheet A ln "&amp;'PSO WS A RB Support '!A57&amp;".E &amp; "&amp;'PSO WS A RB Support '!A95&amp;".E)"</f>
        <v>(Worksheet A ln 28.E &amp; 47.E)</v>
      </c>
      <c r="F67" s="274"/>
      <c r="G67" s="45">
        <f>+'PSO WS A RB Support '!G57</f>
        <v>230246505.74838498</v>
      </c>
      <c r="H67" s="45"/>
      <c r="I67" s="126" t="s">
        <v>246</v>
      </c>
      <c r="J67" s="127">
        <f>IF(G67=0,0,L67/G67)</f>
        <v>0.88819540082264392</v>
      </c>
      <c r="K67" s="115"/>
      <c r="L67" s="45">
        <f>+'PSO WS A RB Support '!G95</f>
        <v>204503887.4612</v>
      </c>
      <c r="M67" s="38"/>
      <c r="N67" s="38"/>
      <c r="O67" s="2"/>
    </row>
    <row r="68" spans="2:15" ht="15.75">
      <c r="B68" s="35">
        <f t="shared" si="1"/>
        <v>28</v>
      </c>
      <c r="C68" s="77"/>
      <c r="D68" s="16" t="s">
        <v>33</v>
      </c>
      <c r="E68" s="8" t="str">
        <f>"(Worksheet A ln "&amp;'PSO WS A RB Support '!A61&amp;".E)"</f>
        <v>(Worksheet A ln 31.E)</v>
      </c>
      <c r="F68" s="370"/>
      <c r="G68" s="45">
        <f>-'PSO WS A RB Support '!G61</f>
        <v>0</v>
      </c>
      <c r="H68" s="45"/>
      <c r="I68" s="126" t="s">
        <v>246</v>
      </c>
      <c r="J68" s="12">
        <f>+J67</f>
        <v>0.88819540082264392</v>
      </c>
      <c r="K68" s="115"/>
      <c r="L68" s="45">
        <f t="shared" ref="L68:L73" si="2">+J68*G68</f>
        <v>0</v>
      </c>
      <c r="M68" s="38"/>
      <c r="N68" s="38"/>
      <c r="O68" s="2"/>
    </row>
    <row r="69" spans="2:15">
      <c r="B69" s="35">
        <f>+B68+1</f>
        <v>29</v>
      </c>
      <c r="C69" s="77"/>
      <c r="D69" s="14" t="str">
        <f>+D57</f>
        <v xml:space="preserve">  Distribution</v>
      </c>
      <c r="E69" s="8" t="str">
        <f>"(Worksheet A ln "&amp;'PSO WS A RB Support '!A63&amp;".E)"</f>
        <v>(Worksheet A ln 32.E)</v>
      </c>
      <c r="F69" s="259"/>
      <c r="G69" s="45">
        <f>+'PSO WS A RB Support '!G63</f>
        <v>643807827.99595499</v>
      </c>
      <c r="H69" s="45"/>
      <c r="I69" s="11" t="s">
        <v>304</v>
      </c>
      <c r="J69" s="12">
        <v>0</v>
      </c>
      <c r="K69" s="8"/>
      <c r="L69" s="45">
        <f t="shared" si="2"/>
        <v>0</v>
      </c>
      <c r="M69" s="38"/>
      <c r="N69" s="38"/>
      <c r="O69" s="2"/>
    </row>
    <row r="70" spans="2:15">
      <c r="B70" s="35">
        <f t="shared" si="1"/>
        <v>30</v>
      </c>
      <c r="C70" s="77"/>
      <c r="D70" s="16" t="s">
        <v>30</v>
      </c>
      <c r="E70" s="8" t="str">
        <f>"(Worksheet A ln "&amp;'PSO WS A RB Support '!A65&amp;".E)"</f>
        <v>(Worksheet A ln 33.E)</v>
      </c>
      <c r="F70" s="259"/>
      <c r="G70" s="45">
        <f>-'PSO WS A RB Support '!G65</f>
        <v>0</v>
      </c>
      <c r="H70" s="45"/>
      <c r="I70" s="11" t="s">
        <v>304</v>
      </c>
      <c r="J70" s="12">
        <v>0</v>
      </c>
      <c r="K70" s="8"/>
      <c r="L70" s="45">
        <f t="shared" si="2"/>
        <v>0</v>
      </c>
      <c r="M70" s="38"/>
      <c r="N70" s="38"/>
      <c r="O70" s="2"/>
    </row>
    <row r="71" spans="2:15">
      <c r="B71" s="35">
        <f t="shared" si="1"/>
        <v>31</v>
      </c>
      <c r="C71" s="77"/>
      <c r="D71" s="14" t="str">
        <f>+D59</f>
        <v xml:space="preserve">  General Plant   </v>
      </c>
      <c r="E71" s="8" t="str">
        <f>"(Worksheet A ln "&amp;'PSO WS A RB Support '!A67&amp;".E)"</f>
        <v>(Worksheet A ln 34.E)</v>
      </c>
      <c r="F71" s="259"/>
      <c r="G71" s="45">
        <f>+'PSO WS A RB Support '!G67</f>
        <v>46813515.939326346</v>
      </c>
      <c r="H71" s="45"/>
      <c r="I71" s="11" t="s">
        <v>309</v>
      </c>
      <c r="J71" s="12">
        <f>+$L$217</f>
        <v>8.2008465586260154E-2</v>
      </c>
      <c r="K71" s="8"/>
      <c r="L71" s="45">
        <f t="shared" si="2"/>
        <v>3839104.6108820857</v>
      </c>
      <c r="M71" s="38"/>
      <c r="N71" s="38"/>
      <c r="O71" s="2"/>
    </row>
    <row r="72" spans="2:15">
      <c r="B72" s="35">
        <f t="shared" si="1"/>
        <v>32</v>
      </c>
      <c r="C72" s="77"/>
      <c r="D72" s="16" t="s">
        <v>31</v>
      </c>
      <c r="E72" s="8" t="str">
        <f>"(Worksheet A ln "&amp;'PSO WS A RB Support '!A69&amp;".E)"</f>
        <v>(Worksheet A ln 35.E)</v>
      </c>
      <c r="F72" s="259"/>
      <c r="G72" s="45">
        <f>-'PSO WS A RB Support '!G69</f>
        <v>-415844</v>
      </c>
      <c r="H72" s="45"/>
      <c r="I72" s="11" t="s">
        <v>309</v>
      </c>
      <c r="J72" s="12">
        <f>+$L$217</f>
        <v>8.2008465586260154E-2</v>
      </c>
      <c r="K72" s="8"/>
      <c r="L72" s="45">
        <f t="shared" si="2"/>
        <v>-34102.728363252769</v>
      </c>
      <c r="M72" s="38"/>
      <c r="N72" s="38"/>
      <c r="O72" s="2"/>
    </row>
    <row r="73" spans="2:15" ht="15.75" thickBot="1">
      <c r="B73" s="35">
        <f t="shared" si="1"/>
        <v>33</v>
      </c>
      <c r="C73" s="77"/>
      <c r="D73" s="14" t="str">
        <f>+D61</f>
        <v xml:space="preserve">  Intangible Plant</v>
      </c>
      <c r="E73" s="8" t="str">
        <f>"(Worksheet A ln "&amp;'PSO WS A RB Support '!A71&amp;".E)"</f>
        <v>(Worksheet A ln 36.E)</v>
      </c>
      <c r="F73" s="259"/>
      <c r="G73" s="46">
        <f>+'PSO WS A RB Support '!G71</f>
        <v>56235934.443198994</v>
      </c>
      <c r="H73" s="45"/>
      <c r="I73" s="11" t="s">
        <v>309</v>
      </c>
      <c r="J73" s="12">
        <f>+$L$217</f>
        <v>8.2008465586260154E-2</v>
      </c>
      <c r="K73" s="8"/>
      <c r="L73" s="46">
        <f t="shared" si="2"/>
        <v>4611822.6944962665</v>
      </c>
      <c r="M73" s="38"/>
      <c r="N73" s="38"/>
      <c r="O73" s="2"/>
    </row>
    <row r="74" spans="2:15">
      <c r="B74" s="35">
        <f t="shared" si="1"/>
        <v>34</v>
      </c>
      <c r="C74" s="77"/>
      <c r="D74" s="14" t="s">
        <v>261</v>
      </c>
      <c r="E74" s="903" t="str">
        <f>"(sum lns "&amp;B65&amp;" to "&amp;B73&amp;")"</f>
        <v>(sum lns 25 to 33)</v>
      </c>
      <c r="F74" s="344"/>
      <c r="G74" s="45">
        <f>SUM(G65:G73)</f>
        <v>1773075796.0202072</v>
      </c>
      <c r="H74" s="45"/>
      <c r="I74" s="11"/>
      <c r="J74" s="8"/>
      <c r="K74" s="45"/>
      <c r="L74" s="45">
        <f>SUM(L65:L73)</f>
        <v>212920712.0382151</v>
      </c>
      <c r="M74" s="38"/>
      <c r="N74" s="38"/>
      <c r="O74" s="2"/>
    </row>
    <row r="75" spans="2:15">
      <c r="B75" s="35"/>
      <c r="C75" s="30"/>
      <c r="D75" s="5"/>
      <c r="E75" s="343"/>
      <c r="F75" s="344"/>
      <c r="G75" s="45"/>
      <c r="H75" s="45"/>
      <c r="I75" s="11"/>
      <c r="J75" s="128"/>
      <c r="K75" s="8"/>
      <c r="L75" s="45"/>
      <c r="M75" s="38"/>
      <c r="N75" s="38"/>
      <c r="O75" s="2"/>
    </row>
    <row r="76" spans="2:15">
      <c r="B76" s="35">
        <f>+B74+1</f>
        <v>35</v>
      </c>
      <c r="C76" s="30"/>
      <c r="D76" s="14" t="s">
        <v>265</v>
      </c>
      <c r="E76" s="9"/>
      <c r="F76" s="9"/>
      <c r="G76" s="45"/>
      <c r="H76" s="45"/>
      <c r="I76" s="11"/>
      <c r="J76" s="8"/>
      <c r="K76" s="8"/>
      <c r="L76" s="45"/>
      <c r="M76" s="38"/>
      <c r="N76" s="38"/>
      <c r="O76" s="2"/>
    </row>
    <row r="77" spans="2:15">
      <c r="B77" s="76">
        <f t="shared" ref="B77:B82" si="3">+B76+1</f>
        <v>36</v>
      </c>
      <c r="C77" s="77"/>
      <c r="D77" s="16" t="str">
        <f>+D65</f>
        <v xml:space="preserve">  Production</v>
      </c>
      <c r="E77" s="8" t="str">
        <f>" (ln "&amp;B53&amp;" + ln "&amp;B54&amp;" - ln "&amp;B65&amp;" - ln "&amp;B66&amp;")"</f>
        <v xml:space="preserve"> (ln 14 + ln 15 - ln 25 - ln 26)</v>
      </c>
      <c r="F77" s="8"/>
      <c r="G77" s="45">
        <f>G53+G54-G65-G66</f>
        <v>722943575.76586294</v>
      </c>
      <c r="H77" s="45"/>
      <c r="I77" s="11"/>
      <c r="J77" s="129"/>
      <c r="K77" s="8"/>
      <c r="L77" s="45">
        <f>L53+L54-L65-L66</f>
        <v>0</v>
      </c>
      <c r="M77" s="38"/>
      <c r="N77" s="38"/>
      <c r="O77" s="2"/>
    </row>
    <row r="78" spans="2:15">
      <c r="B78" s="76">
        <f t="shared" si="3"/>
        <v>37</v>
      </c>
      <c r="C78" s="77"/>
      <c r="D78" s="16" t="str">
        <f>+D67</f>
        <v xml:space="preserve">  Transmission</v>
      </c>
      <c r="E78" s="8" t="str">
        <f>" (ln "&amp;B55&amp;" + ln "&amp;B56&amp;" - ln "&amp;B67&amp;" - ln "&amp;B68&amp;")"</f>
        <v xml:space="preserve"> (ln 16 + ln 17 - ln 27 - ln 28)</v>
      </c>
      <c r="F78" s="259"/>
      <c r="G78" s="45">
        <f>+G55+G56-G67-G68</f>
        <v>696488327.73343158</v>
      </c>
      <c r="H78" s="45"/>
      <c r="I78" s="11"/>
      <c r="J78" s="127"/>
      <c r="K78" s="8"/>
      <c r="L78" s="45">
        <f>+L55+L56-L67-L68</f>
        <v>657550074.02061653</v>
      </c>
      <c r="M78" s="38"/>
      <c r="N78" s="38"/>
      <c r="O78" s="2"/>
    </row>
    <row r="79" spans="2:15">
      <c r="B79" s="76">
        <f>+B78+1</f>
        <v>38</v>
      </c>
      <c r="C79" s="77"/>
      <c r="D79" s="16" t="str">
        <f>+D69</f>
        <v xml:space="preserve">  Distribution</v>
      </c>
      <c r="E79" s="8" t="str">
        <f>" (ln "&amp;B57&amp;" + ln "&amp;B58&amp;" - ln "&amp;B69&amp;" - ln "&amp;B70&amp;")"</f>
        <v xml:space="preserve"> (ln 18 + ln 19 - ln 29 - ln 30)</v>
      </c>
      <c r="F79" s="8"/>
      <c r="G79" s="45">
        <f>+G57+G58-G69-G70</f>
        <v>2017371782.9902501</v>
      </c>
      <c r="H79" s="45"/>
      <c r="I79" s="11"/>
      <c r="J79" s="128"/>
      <c r="K79" s="8"/>
      <c r="L79" s="45">
        <f>+L57+L58-L69-L70</f>
        <v>0</v>
      </c>
      <c r="M79" s="38"/>
      <c r="N79" s="38"/>
      <c r="O79" s="2"/>
    </row>
    <row r="80" spans="2:15">
      <c r="B80" s="76">
        <f t="shared" si="3"/>
        <v>39</v>
      </c>
      <c r="C80" s="77"/>
      <c r="D80" s="16" t="str">
        <f>+D71</f>
        <v xml:space="preserve">  General Plant   </v>
      </c>
      <c r="E80" s="8" t="str">
        <f>" (ln "&amp;B59&amp;" + ln "&amp;B60&amp;" - ln "&amp;B71&amp;" - ln "&amp;B72&amp;")"</f>
        <v xml:space="preserve"> (ln 20 + ln 21 - ln 31 - ln 32)</v>
      </c>
      <c r="F80" s="8"/>
      <c r="G80" s="45">
        <f>+G59+G60-G71-G72</f>
        <v>122245066.51714516</v>
      </c>
      <c r="H80" s="45"/>
      <c r="I80" s="11"/>
      <c r="J80" s="128"/>
      <c r="K80" s="8"/>
      <c r="L80" s="45">
        <f>+L59+L60-L71-L72</f>
        <v>10025130.330561385</v>
      </c>
      <c r="M80" s="38"/>
      <c r="N80" s="38"/>
      <c r="O80" s="2"/>
    </row>
    <row r="81" spans="2:15" ht="15.75" thickBot="1">
      <c r="B81" s="76">
        <f t="shared" si="3"/>
        <v>40</v>
      </c>
      <c r="C81" s="77"/>
      <c r="D81" s="16" t="str">
        <f>+D73</f>
        <v xml:space="preserve">  Intangible Plant</v>
      </c>
      <c r="E81" s="8" t="str">
        <f>" (ln "&amp;B61&amp;" - ln "&amp;B73&amp;")"</f>
        <v xml:space="preserve"> (ln 22 - ln 33)</v>
      </c>
      <c r="F81" s="8"/>
      <c r="G81" s="46">
        <f>+G61-G73</f>
        <v>86164784.255278513</v>
      </c>
      <c r="H81" s="45"/>
      <c r="I81" s="11"/>
      <c r="J81" s="128"/>
      <c r="K81" s="8"/>
      <c r="L81" s="46">
        <f>+L61-L73</f>
        <v>7066241.7443465386</v>
      </c>
      <c r="M81" s="38"/>
      <c r="N81" s="38"/>
      <c r="O81" s="2"/>
    </row>
    <row r="82" spans="2:15" ht="15.75">
      <c r="B82" s="76">
        <f t="shared" si="3"/>
        <v>41</v>
      </c>
      <c r="C82" s="77"/>
      <c r="D82" s="16" t="s">
        <v>260</v>
      </c>
      <c r="E82" s="16" t="str">
        <f>"(sum lns "&amp;B77&amp;" to "&amp;B81&amp;")"</f>
        <v>(sum lns 36 to 40)</v>
      </c>
      <c r="F82" s="8"/>
      <c r="G82" s="45">
        <f>SUM(G77:G81)</f>
        <v>3645213537.2619686</v>
      </c>
      <c r="H82" s="45"/>
      <c r="I82" s="471" t="s">
        <v>1105</v>
      </c>
      <c r="J82" s="185">
        <f>IF(G82=0,0,L82/G82)</f>
        <v>0.18507597406824849</v>
      </c>
      <c r="K82" s="8"/>
      <c r="L82" s="45">
        <f>SUM(L78:L81)</f>
        <v>674641446.09552443</v>
      </c>
      <c r="M82" s="38"/>
      <c r="N82" s="38"/>
      <c r="O82" s="2"/>
    </row>
    <row r="83" spans="2:15">
      <c r="B83" s="35"/>
      <c r="C83" s="30"/>
      <c r="D83" s="14"/>
      <c r="E83" s="8"/>
      <c r="F83" s="8"/>
      <c r="G83" s="45"/>
      <c r="H83" s="45"/>
      <c r="I83" s="5"/>
      <c r="J83" s="130"/>
      <c r="K83" s="8"/>
      <c r="L83" s="45"/>
      <c r="M83" s="38"/>
      <c r="N83" s="38"/>
      <c r="O83" s="2"/>
    </row>
    <row r="84" spans="2:15">
      <c r="B84" s="35"/>
      <c r="C84" s="30"/>
      <c r="D84" s="5"/>
      <c r="G84" s="38"/>
      <c r="H84" s="38"/>
      <c r="I84" s="38"/>
      <c r="J84" s="38"/>
      <c r="K84" s="38"/>
      <c r="L84" s="38"/>
      <c r="M84" s="38"/>
      <c r="N84" s="38"/>
      <c r="O84" s="2"/>
    </row>
    <row r="85" spans="2:15">
      <c r="B85" s="35">
        <f>+B82+1</f>
        <v>42</v>
      </c>
      <c r="C85" s="30"/>
      <c r="D85" s="14" t="s">
        <v>447</v>
      </c>
      <c r="E85" s="8" t="s">
        <v>206</v>
      </c>
      <c r="F85" s="11"/>
      <c r="G85" s="38"/>
      <c r="H85" s="38"/>
      <c r="I85" s="38"/>
      <c r="J85" s="38"/>
      <c r="K85" s="38"/>
      <c r="L85" s="38"/>
      <c r="M85" s="38"/>
      <c r="N85" s="38"/>
      <c r="O85" s="2"/>
    </row>
    <row r="86" spans="2:15">
      <c r="B86" s="76">
        <f t="shared" ref="B86:B91" si="4">+B85+1</f>
        <v>43</v>
      </c>
      <c r="C86" s="77"/>
      <c r="D86" s="16" t="s">
        <v>367</v>
      </c>
      <c r="E86" s="8" t="s">
        <v>48</v>
      </c>
      <c r="F86" s="8"/>
      <c r="G86" s="45">
        <v>0</v>
      </c>
      <c r="H86" s="45"/>
      <c r="I86" s="11" t="s">
        <v>304</v>
      </c>
      <c r="J86" s="12"/>
      <c r="K86" s="8"/>
      <c r="L86" s="45">
        <v>0</v>
      </c>
      <c r="M86" s="38"/>
      <c r="N86" s="38"/>
      <c r="O86" s="2"/>
    </row>
    <row r="87" spans="2:15">
      <c r="B87" s="76">
        <f t="shared" si="4"/>
        <v>44</v>
      </c>
      <c r="C87" s="77"/>
      <c r="D87" s="16" t="s">
        <v>368</v>
      </c>
      <c r="E87" s="8" t="str">
        <f>"(Worksheet C, ln "&amp;'PSO WS C ADIT &amp; ADITC'!A22&amp;" C &amp; ln "&amp;'PSO WS C ADIT &amp; ADITC'!A26&amp;" J)"</f>
        <v>(Worksheet C, ln 4 C &amp; ln 8 J)</v>
      </c>
      <c r="F87" s="259"/>
      <c r="G87" s="45">
        <f>'PSO WS C ADIT &amp; ADITC'!D22</f>
        <v>-1015185891.0099999</v>
      </c>
      <c r="H87" s="45"/>
      <c r="I87" s="11" t="s">
        <v>306</v>
      </c>
      <c r="J87" s="12"/>
      <c r="K87" s="8"/>
      <c r="L87" s="45">
        <f>'PSO WS C ADIT &amp; ADITC'!J26</f>
        <v>-166137412.80956465</v>
      </c>
      <c r="M87" s="38"/>
      <c r="N87" s="38"/>
      <c r="O87" s="2"/>
    </row>
    <row r="88" spans="2:15">
      <c r="B88" s="76">
        <f t="shared" si="4"/>
        <v>45</v>
      </c>
      <c r="C88" s="77"/>
      <c r="D88" s="16" t="s">
        <v>369</v>
      </c>
      <c r="E88" s="8" t="str">
        <f>"(Worksheet C, ln "&amp;'PSO WS C ADIT &amp; ADITC'!A35&amp;" C &amp; ln "&amp;'PSO WS C ADIT &amp; ADITC'!A37&amp;" J)"</f>
        <v>(Worksheet C, ln 12 C &amp; ln 14 J)</v>
      </c>
      <c r="F88" s="259"/>
      <c r="G88" s="45">
        <f>'PSO WS C ADIT &amp; ADITC'!D35</f>
        <v>-244171628.19999999</v>
      </c>
      <c r="H88" s="45"/>
      <c r="I88" s="11" t="s">
        <v>306</v>
      </c>
      <c r="J88" s="12"/>
      <c r="K88" s="8"/>
      <c r="L88" s="45">
        <f>'PSO WS C ADIT &amp; ADITC'!J37</f>
        <v>-29504226.723971203</v>
      </c>
      <c r="M88" s="38"/>
      <c r="N88" s="38"/>
      <c r="O88" s="2"/>
    </row>
    <row r="89" spans="2:15">
      <c r="B89" s="76">
        <f t="shared" si="4"/>
        <v>46</v>
      </c>
      <c r="C89" s="77"/>
      <c r="D89" s="16" t="s">
        <v>370</v>
      </c>
      <c r="E89" s="8" t="str">
        <f>"(Worksheet C, ln "&amp;'PSO WS C ADIT &amp; ADITC'!A47&amp;" C &amp; ln "&amp;'PSO WS C ADIT &amp; ADITC'!A51&amp;" J)"</f>
        <v>(Worksheet C, ln 18 C &amp; ln 22 J)</v>
      </c>
      <c r="F89" s="259"/>
      <c r="G89" s="45">
        <f>+'PSO WS C ADIT &amp; ADITC'!D47</f>
        <v>123669008.46000001</v>
      </c>
      <c r="H89" s="45"/>
      <c r="I89" s="11" t="s">
        <v>306</v>
      </c>
      <c r="J89" s="12"/>
      <c r="K89" s="8"/>
      <c r="L89" s="45">
        <f>+'PSO WS C ADIT &amp; ADITC'!J51</f>
        <v>7045693.0795088941</v>
      </c>
      <c r="M89" s="38"/>
      <c r="N89" s="38"/>
      <c r="O89" s="2"/>
    </row>
    <row r="90" spans="2:15" ht="15.75" thickBot="1">
      <c r="B90" s="76">
        <f t="shared" si="4"/>
        <v>47</v>
      </c>
      <c r="C90" s="77"/>
      <c r="D90" s="22" t="s">
        <v>311</v>
      </c>
      <c r="E90" s="8" t="str">
        <f>"(Worksheet C, ln "&amp;'PSO WS C ADIT &amp; ADITC'!A61&amp;" C &amp; ln "&amp;'PSO WS C ADIT &amp; ADITC'!A63&amp;" J)"</f>
        <v>(Worksheet C, ln 26 C &amp; ln 28 J)</v>
      </c>
      <c r="F90" s="371"/>
      <c r="G90" s="46">
        <f>'PSO WS C ADIT &amp; ADITC'!D61</f>
        <v>-3565</v>
      </c>
      <c r="H90" s="45"/>
      <c r="I90" s="11" t="s">
        <v>306</v>
      </c>
      <c r="J90" s="12"/>
      <c r="K90" s="8"/>
      <c r="L90" s="46">
        <f>'PSO WS C ADIT &amp; ADITC'!J63</f>
        <v>0</v>
      </c>
      <c r="M90" s="38"/>
      <c r="N90" s="38"/>
      <c r="O90" s="2"/>
    </row>
    <row r="91" spans="2:15">
      <c r="B91" s="76">
        <f t="shared" si="4"/>
        <v>48</v>
      </c>
      <c r="C91" s="77"/>
      <c r="D91" s="16" t="s">
        <v>274</v>
      </c>
      <c r="E91" s="16" t="str">
        <f>"(sum lns "&amp;B86&amp;" to "&amp;B90&amp;")"</f>
        <v>(sum lns 43 to 47)</v>
      </c>
      <c r="F91" s="8"/>
      <c r="G91" s="45">
        <f>SUM(G86:G90)</f>
        <v>-1135692075.7499998</v>
      </c>
      <c r="H91" s="38"/>
      <c r="I91" s="11"/>
      <c r="J91" s="131"/>
      <c r="K91" s="8"/>
      <c r="L91" s="45">
        <f>SUM(L86:L90)</f>
        <v>-188595946.45402694</v>
      </c>
      <c r="M91" s="38"/>
      <c r="N91" s="38"/>
    </row>
    <row r="92" spans="2:15">
      <c r="B92" s="35"/>
      <c r="C92" s="30"/>
      <c r="D92" s="16"/>
      <c r="E92" s="8"/>
      <c r="F92" s="8"/>
      <c r="G92" s="45"/>
      <c r="H92" s="38"/>
      <c r="I92" s="11"/>
      <c r="J92" s="128"/>
      <c r="K92" s="8"/>
      <c r="L92" s="45"/>
      <c r="M92" s="38"/>
      <c r="N92" s="38"/>
    </row>
    <row r="93" spans="2:15">
      <c r="B93" s="35">
        <f>+B91+1</f>
        <v>49</v>
      </c>
      <c r="C93" s="30"/>
      <c r="D93" s="16" t="s">
        <v>381</v>
      </c>
      <c r="E93" s="8" t="str">
        <f>"(Worksheet A ln "&amp;'PSO WS A RB Support '!A99&amp;".E &amp; "&amp;'PSO WS A RB Support '!A101&amp;".E)"</f>
        <v>(Worksheet A ln 48.E &amp; 49.E)</v>
      </c>
      <c r="F93" s="8"/>
      <c r="G93" s="45">
        <f>+'PSO WS A RB Support '!G99</f>
        <v>302647</v>
      </c>
      <c r="H93" s="38"/>
      <c r="I93" s="11" t="s">
        <v>306</v>
      </c>
      <c r="J93" s="12"/>
      <c r="K93" s="8"/>
      <c r="L93" s="45">
        <f>+'PSO WS A RB Support '!G101</f>
        <v>0</v>
      </c>
      <c r="M93" s="38"/>
      <c r="N93" s="38"/>
    </row>
    <row r="94" spans="2:15">
      <c r="B94" s="35"/>
      <c r="C94" s="30"/>
      <c r="D94" s="16"/>
      <c r="E94" s="8"/>
      <c r="F94" s="8"/>
      <c r="G94" s="45"/>
      <c r="H94" s="38"/>
      <c r="I94" s="11"/>
      <c r="J94" s="12"/>
      <c r="K94" s="8"/>
      <c r="L94" s="45"/>
      <c r="M94" s="38"/>
      <c r="N94" s="38"/>
    </row>
    <row r="95" spans="2:15">
      <c r="B95" s="35">
        <f>+B93+1</f>
        <v>50</v>
      </c>
      <c r="C95" s="30"/>
      <c r="D95" s="16" t="s">
        <v>1109</v>
      </c>
      <c r="E95" s="8" t="str">
        <f>"(Worksheet A ln "&amp;'PSO WS A RB Support '!A112&amp;".E)"</f>
        <v>(Worksheet A ln 55.E)</v>
      </c>
      <c r="F95" s="8"/>
      <c r="G95" s="45">
        <f>+'PSO WS A RB Support '!G112</f>
        <v>0</v>
      </c>
      <c r="H95" s="38"/>
      <c r="I95" s="11" t="s">
        <v>306</v>
      </c>
      <c r="J95" s="12"/>
      <c r="K95" s="8"/>
      <c r="L95" s="45">
        <f>+G95</f>
        <v>0</v>
      </c>
      <c r="M95" s="38"/>
      <c r="N95" s="38"/>
    </row>
    <row r="96" spans="2:15">
      <c r="B96" s="35"/>
      <c r="C96" s="30"/>
      <c r="D96" s="16"/>
      <c r="E96" s="8"/>
      <c r="F96" s="8"/>
      <c r="G96" s="45"/>
      <c r="H96" s="38"/>
      <c r="I96" s="11"/>
      <c r="J96" s="12"/>
      <c r="K96" s="8"/>
      <c r="L96" s="45"/>
      <c r="M96" s="38"/>
      <c r="N96" s="38"/>
    </row>
    <row r="97" spans="2:14">
      <c r="B97" s="35">
        <f>+B95+1</f>
        <v>51</v>
      </c>
      <c r="C97" s="30"/>
      <c r="D97" s="16" t="s">
        <v>275</v>
      </c>
      <c r="E97" s="8" t="s">
        <v>169</v>
      </c>
      <c r="F97" s="8"/>
      <c r="G97" s="45"/>
      <c r="H97" s="38"/>
      <c r="I97" s="11"/>
      <c r="J97" s="8"/>
      <c r="K97" s="8"/>
      <c r="L97" s="45"/>
      <c r="M97" s="38"/>
      <c r="N97" s="38"/>
    </row>
    <row r="98" spans="2:14">
      <c r="B98" s="76">
        <f t="shared" ref="B98:B106" si="5">+B97+1</f>
        <v>52</v>
      </c>
      <c r="C98" s="77"/>
      <c r="D98" s="16" t="s">
        <v>380</v>
      </c>
      <c r="E98" s="5" t="str">
        <f>"(1/8 * ln "&amp;B130&amp;") (Note G)"</f>
        <v>(1/8 * ln 68) (Note G)</v>
      </c>
      <c r="F98" s="5"/>
      <c r="G98" s="45">
        <f>+G130/8</f>
        <v>2195321.9810843356</v>
      </c>
      <c r="H98" s="8"/>
      <c r="I98" s="11"/>
      <c r="J98" s="128"/>
      <c r="K98" s="8"/>
      <c r="L98" s="45">
        <f>+L130/8</f>
        <v>2042100.8708733222</v>
      </c>
      <c r="M98" s="38"/>
      <c r="N98" s="38"/>
    </row>
    <row r="99" spans="2:14">
      <c r="B99" s="76">
        <f t="shared" si="5"/>
        <v>53</v>
      </c>
      <c r="C99" s="77"/>
      <c r="D99" s="16" t="s">
        <v>452</v>
      </c>
      <c r="E99" s="8" t="str">
        <f>"(Worksheet D, ln "&amp;'PSO WS D Working Capital'!A17&amp;" F)"</f>
        <v>(Worksheet D, ln 3 F)</v>
      </c>
      <c r="F99" s="259"/>
      <c r="G99" s="45">
        <f>+'PSO WS D Working Capital'!I17</f>
        <v>1739929</v>
      </c>
      <c r="H99" s="38"/>
      <c r="I99" s="11" t="s">
        <v>297</v>
      </c>
      <c r="J99" s="12">
        <f>+$L$207</f>
        <v>0.93020563200695838</v>
      </c>
      <c r="K99" s="8"/>
      <c r="L99" s="45">
        <f>+J99*G99</f>
        <v>1618491.755092235</v>
      </c>
      <c r="M99" s="38"/>
      <c r="N99" s="38"/>
    </row>
    <row r="100" spans="2:14">
      <c r="B100" s="76">
        <f t="shared" si="5"/>
        <v>54</v>
      </c>
      <c r="C100" s="77"/>
      <c r="D100" s="16" t="s">
        <v>453</v>
      </c>
      <c r="E100" s="8" t="str">
        <f>"(Worksheet D, ln "&amp;'PSO WS D Working Capital'!A19&amp;" F)"</f>
        <v>(Worksheet D, ln 4 F)</v>
      </c>
      <c r="F100" s="259"/>
      <c r="G100" s="45">
        <f>+'PSO WS D Working Capital'!I19</f>
        <v>244679</v>
      </c>
      <c r="H100" s="38"/>
      <c r="I100" s="11" t="s">
        <v>309</v>
      </c>
      <c r="J100" s="12">
        <f>+$L$217</f>
        <v>8.2008465586260154E-2</v>
      </c>
      <c r="K100" s="8"/>
      <c r="L100" s="45">
        <f>+J100*G100</f>
        <v>20065.749351180548</v>
      </c>
      <c r="M100" s="38"/>
      <c r="N100" s="38"/>
    </row>
    <row r="101" spans="2:14">
      <c r="B101" s="76">
        <f t="shared" si="5"/>
        <v>55</v>
      </c>
      <c r="C101" s="77"/>
      <c r="D101" s="16" t="s">
        <v>230</v>
      </c>
      <c r="E101" s="8" t="str">
        <f>"(Worksheet D, ln "&amp;'PSO WS D Working Capital'!A21&amp;" F)"</f>
        <v>(Worksheet D, ln 5 F)</v>
      </c>
      <c r="F101" s="259"/>
      <c r="G101" s="45">
        <f>+'PSO WS D Working Capital'!I21</f>
        <v>0</v>
      </c>
      <c r="H101" s="38"/>
      <c r="I101" s="79" t="s">
        <v>1102</v>
      </c>
      <c r="J101" s="12">
        <f>+$J$62</f>
        <v>0.1638085571919968</v>
      </c>
      <c r="K101" s="8"/>
      <c r="L101" s="45">
        <f>+J101*G101</f>
        <v>0</v>
      </c>
      <c r="M101" s="38"/>
      <c r="N101" s="38"/>
    </row>
    <row r="102" spans="2:14">
      <c r="B102" s="76">
        <f t="shared" si="5"/>
        <v>56</v>
      </c>
      <c r="C102" s="77"/>
      <c r="D102" s="16" t="s">
        <v>394</v>
      </c>
      <c r="E102" s="8" t="str">
        <f>"(Worksheet D, ln "&amp;'PSO WS D Working Capital'!A31&amp;" G)"</f>
        <v>(Worksheet D, ln 8 G)</v>
      </c>
      <c r="F102" s="259"/>
      <c r="G102" s="45">
        <f>+'PSO WS D Working Capital'!J31</f>
        <v>92521862</v>
      </c>
      <c r="H102" s="38"/>
      <c r="I102" s="11" t="s">
        <v>309</v>
      </c>
      <c r="J102" s="12">
        <f>+$L$217</f>
        <v>8.2008465586260154E-2</v>
      </c>
      <c r="K102" s="8"/>
      <c r="L102" s="45">
        <f>+J102*G102</f>
        <v>7587575.9358037114</v>
      </c>
      <c r="M102" s="38"/>
      <c r="N102" s="38"/>
    </row>
    <row r="103" spans="2:14">
      <c r="B103" s="76">
        <f t="shared" si="5"/>
        <v>57</v>
      </c>
      <c r="C103" s="77"/>
      <c r="D103" s="16" t="s">
        <v>395</v>
      </c>
      <c r="E103" s="8" t="str">
        <f>"(Worksheet D, ln "&amp;'PSO WS D Working Capital'!A31&amp;" F)"</f>
        <v>(Worksheet D, ln 8 F)</v>
      </c>
      <c r="F103" s="259"/>
      <c r="G103" s="45">
        <f>+'PSO WS D Working Capital'!I31</f>
        <v>2460594</v>
      </c>
      <c r="H103" s="38"/>
      <c r="I103" s="79" t="s">
        <v>1102</v>
      </c>
      <c r="J103" s="12">
        <f>+$J$62</f>
        <v>0.1638085571919968</v>
      </c>
      <c r="K103" s="8"/>
      <c r="L103" s="45">
        <f>+G103*J103</f>
        <v>403066.35297528416</v>
      </c>
      <c r="M103" s="38"/>
      <c r="N103" s="38"/>
    </row>
    <row r="104" spans="2:14">
      <c r="B104" s="76">
        <f t="shared" si="5"/>
        <v>58</v>
      </c>
      <c r="C104" s="77"/>
      <c r="D104" s="16" t="s">
        <v>438</v>
      </c>
      <c r="E104" s="8" t="str">
        <f>"(Worksheet D, ln "&amp;'PSO WS D Working Capital'!A31&amp;" E)"</f>
        <v>(Worksheet D, ln 8 E)</v>
      </c>
      <c r="F104" s="259"/>
      <c r="G104" s="45">
        <f>+'PSO WS D Working Capital'!G31</f>
        <v>0</v>
      </c>
      <c r="H104" s="38"/>
      <c r="I104" s="11" t="s">
        <v>306</v>
      </c>
      <c r="J104" s="12">
        <v>1</v>
      </c>
      <c r="K104" s="8"/>
      <c r="L104" s="45">
        <f>+G104</f>
        <v>0</v>
      </c>
      <c r="M104" s="38"/>
      <c r="N104" s="38"/>
    </row>
    <row r="105" spans="2:14" ht="15.75" thickBot="1">
      <c r="B105" s="76">
        <f t="shared" si="5"/>
        <v>59</v>
      </c>
      <c r="C105" s="77"/>
      <c r="D105" s="16" t="s">
        <v>282</v>
      </c>
      <c r="E105" s="8" t="str">
        <f>"(Worksheet D, ln "&amp;'PSO WS D Working Capital'!A31&amp;" D)"</f>
        <v>(Worksheet D, ln 8 D)</v>
      </c>
      <c r="F105" s="259"/>
      <c r="G105" s="46">
        <f>+'PSO WS D Working Capital'!E31</f>
        <v>-87039053</v>
      </c>
      <c r="H105" s="45"/>
      <c r="I105" s="11" t="s">
        <v>304</v>
      </c>
      <c r="J105" s="12">
        <v>0</v>
      </c>
      <c r="K105" s="8"/>
      <c r="L105" s="46">
        <f>+G105*J105</f>
        <v>0</v>
      </c>
      <c r="M105" s="38"/>
      <c r="N105" s="38"/>
    </row>
    <row r="106" spans="2:14">
      <c r="B106" s="76">
        <f t="shared" si="5"/>
        <v>60</v>
      </c>
      <c r="C106" s="77"/>
      <c r="D106" s="16" t="s">
        <v>259</v>
      </c>
      <c r="E106" s="16" t="str">
        <f>"(sum lns "&amp;B98&amp;" to "&amp;B105&amp;")"</f>
        <v>(sum lns 52 to 59)</v>
      </c>
      <c r="F106" s="7"/>
      <c r="G106" s="45">
        <f>SUM(G98:G105)</f>
        <v>12123332.981084332</v>
      </c>
      <c r="H106" s="7"/>
      <c r="I106" s="30"/>
      <c r="J106" s="7"/>
      <c r="K106" s="7"/>
      <c r="L106" s="45">
        <f>SUM(L98:L105)</f>
        <v>11671300.664095733</v>
      </c>
      <c r="M106" s="38"/>
      <c r="N106" s="38"/>
    </row>
    <row r="107" spans="2:14">
      <c r="B107" s="35"/>
      <c r="C107" s="30"/>
      <c r="D107" s="16"/>
      <c r="E107" s="7"/>
      <c r="F107" s="7"/>
      <c r="G107" s="45"/>
      <c r="H107" s="7"/>
      <c r="I107" s="30"/>
      <c r="J107" s="7"/>
      <c r="K107" s="7"/>
      <c r="L107" s="45"/>
      <c r="M107" s="38"/>
      <c r="N107" s="38"/>
    </row>
    <row r="108" spans="2:14">
      <c r="B108" s="35">
        <f>+B106+1</f>
        <v>61</v>
      </c>
      <c r="C108" s="30"/>
      <c r="D108" s="16" t="s">
        <v>248</v>
      </c>
      <c r="E108" s="14" t="str">
        <f>"(Note H) (Worksheet E, ln "&amp;'PSO WS E IPP Credits'!A21&amp;" B)"</f>
        <v>(Note H) (Worksheet E, ln 8 B)</v>
      </c>
      <c r="F108" s="7"/>
      <c r="G108" s="45">
        <f>IF(G62=0,0,-'PSO WS E IPP Credits'!C21)</f>
        <v>-1050066</v>
      </c>
      <c r="H108" s="7"/>
      <c r="I108" s="175" t="s">
        <v>306</v>
      </c>
      <c r="J108" s="12">
        <v>1</v>
      </c>
      <c r="K108" s="8"/>
      <c r="L108" s="45">
        <f>+J108*G108</f>
        <v>-1050066</v>
      </c>
      <c r="M108" s="38"/>
      <c r="N108" s="38"/>
    </row>
    <row r="109" spans="2:14" ht="15.75" thickBot="1">
      <c r="B109" s="37"/>
      <c r="C109" s="5"/>
      <c r="D109" s="22"/>
      <c r="E109" s="8"/>
      <c r="F109" s="8"/>
      <c r="G109" s="46"/>
      <c r="H109" s="8"/>
      <c r="I109" s="11"/>
      <c r="J109" s="8"/>
      <c r="K109" s="8"/>
      <c r="L109" s="46"/>
      <c r="M109" s="38"/>
      <c r="N109" s="38"/>
    </row>
    <row r="110" spans="2:14" ht="15.75" thickBot="1">
      <c r="B110" s="35">
        <f>+B108+1</f>
        <v>62</v>
      </c>
      <c r="C110" s="30"/>
      <c r="D110" s="14" t="str">
        <f>"RATE BASE  (sum lns "&amp;B82&amp;", "&amp;B91&amp;", "&amp;B93&amp;", "&amp;B106&amp;", "&amp;B108&amp;")"</f>
        <v>RATE BASE  (sum lns 41, 48, 49, 60, 61)</v>
      </c>
      <c r="E110" s="8"/>
      <c r="F110" s="8"/>
      <c r="G110" s="477">
        <f>+G106+G93+G91+G82+G108</f>
        <v>2520897375.4930534</v>
      </c>
      <c r="H110" s="8"/>
      <c r="I110" s="8"/>
      <c r="J110" s="128"/>
      <c r="K110" s="8"/>
      <c r="L110" s="477">
        <f>+L106+L93+L91+L82+L108</f>
        <v>496666734.30559325</v>
      </c>
      <c r="M110" s="38"/>
      <c r="N110" s="38"/>
    </row>
    <row r="111" spans="2:14" ht="16.5" thickTop="1">
      <c r="B111" s="35"/>
      <c r="C111" s="38"/>
      <c r="D111" s="38"/>
      <c r="E111" s="38"/>
      <c r="F111" s="38"/>
      <c r="G111" s="38"/>
      <c r="H111" s="38"/>
      <c r="I111" s="4"/>
      <c r="J111" s="4"/>
      <c r="K111" s="4"/>
      <c r="L111" s="5"/>
      <c r="M111" s="38"/>
      <c r="N111" s="38"/>
    </row>
    <row r="112" spans="2:14">
      <c r="B112" s="35"/>
      <c r="C112" s="30"/>
      <c r="D112" s="14"/>
      <c r="E112" s="8"/>
      <c r="F112" s="8"/>
      <c r="G112" s="8"/>
      <c r="H112" s="8"/>
      <c r="I112" s="8"/>
      <c r="J112" s="8"/>
      <c r="K112" s="8"/>
      <c r="L112" s="8"/>
      <c r="M112" s="38"/>
      <c r="N112" s="38"/>
    </row>
    <row r="113" spans="1:15">
      <c r="B113" s="35"/>
      <c r="C113" s="30"/>
      <c r="D113" s="14"/>
      <c r="E113" s="8"/>
      <c r="F113" s="11" t="str">
        <f>F41</f>
        <v xml:space="preserve">AEP West SPP Member Operating Companies </v>
      </c>
      <c r="G113" s="11"/>
      <c r="H113" s="8"/>
      <c r="I113" s="8"/>
      <c r="J113" s="8"/>
      <c r="K113" s="8"/>
      <c r="L113" s="8"/>
      <c r="M113" s="38"/>
      <c r="N113" s="38"/>
    </row>
    <row r="114" spans="1:15">
      <c r="B114" s="35"/>
      <c r="C114" s="30"/>
      <c r="D114" s="14"/>
      <c r="E114" s="8"/>
      <c r="F114" s="11" t="str">
        <f>F42</f>
        <v>Transmission Cost of Service Formula Rate</v>
      </c>
      <c r="G114" s="11"/>
      <c r="H114" s="8"/>
      <c r="I114" s="8"/>
      <c r="J114" s="8"/>
      <c r="K114" s="8"/>
      <c r="L114" s="8"/>
      <c r="M114" s="38"/>
      <c r="N114" s="38"/>
    </row>
    <row r="115" spans="1:15">
      <c r="B115" s="35"/>
      <c r="C115" s="30"/>
      <c r="D115" s="5"/>
      <c r="E115" s="8"/>
      <c r="F115" s="11" t="str">
        <f>F43</f>
        <v>Utilizing Actual / Projected Cost Data for the 2019 Rate Year</v>
      </c>
      <c r="G115" s="8"/>
      <c r="H115" s="8"/>
      <c r="I115" s="8"/>
      <c r="J115" s="8"/>
      <c r="K115" s="8"/>
      <c r="L115" s="8"/>
      <c r="M115" s="38"/>
      <c r="N115" s="38"/>
    </row>
    <row r="116" spans="1:15">
      <c r="B116" s="35"/>
      <c r="C116" s="30"/>
      <c r="D116" s="5"/>
      <c r="E116" s="8"/>
      <c r="F116" s="11"/>
      <c r="G116" s="8"/>
      <c r="H116" s="8"/>
      <c r="I116" s="8"/>
      <c r="J116" s="8"/>
      <c r="K116" s="8"/>
      <c r="L116" s="8"/>
      <c r="M116" s="38"/>
      <c r="N116" s="38"/>
    </row>
    <row r="117" spans="1:15">
      <c r="B117" s="35"/>
      <c r="C117" s="30"/>
      <c r="D117" s="5"/>
      <c r="E117" s="32"/>
      <c r="F117" s="11" t="str">
        <f>F45</f>
        <v>PUBLIC SERVICE COMPANY OF OKLAHOMA</v>
      </c>
      <c r="G117" s="32"/>
      <c r="H117" s="32"/>
      <c r="I117" s="32"/>
      <c r="J117" s="32"/>
      <c r="K117" s="32"/>
      <c r="L117" s="5"/>
      <c r="M117" s="38"/>
      <c r="N117" s="38"/>
    </row>
    <row r="118" spans="1:15">
      <c r="B118" s="35"/>
      <c r="C118" s="30"/>
      <c r="D118" s="5"/>
      <c r="E118" s="32"/>
      <c r="F118" s="11"/>
      <c r="G118" s="32"/>
      <c r="H118" s="32"/>
      <c r="I118" s="32"/>
      <c r="J118" s="32"/>
      <c r="K118" s="32"/>
      <c r="L118" s="5"/>
      <c r="M118" s="38"/>
      <c r="N118" s="38"/>
    </row>
    <row r="119" spans="1:15">
      <c r="B119" s="37"/>
      <c r="C119" s="5"/>
      <c r="D119" s="30" t="s">
        <v>298</v>
      </c>
      <c r="E119" s="30" t="s">
        <v>299</v>
      </c>
      <c r="F119" s="30"/>
      <c r="G119" s="30" t="s">
        <v>300</v>
      </c>
      <c r="H119" s="8"/>
      <c r="I119" s="1541" t="s">
        <v>301</v>
      </c>
      <c r="J119" s="1542"/>
      <c r="K119" s="8"/>
      <c r="L119" s="379" t="s">
        <v>302</v>
      </c>
      <c r="M119" s="38"/>
      <c r="N119" s="38"/>
    </row>
    <row r="120" spans="1:15" ht="15.75">
      <c r="B120" s="15"/>
      <c r="C120" s="5"/>
      <c r="D120" s="30"/>
      <c r="E120" s="30"/>
      <c r="F120" s="30"/>
      <c r="G120" s="30"/>
      <c r="H120" s="8"/>
      <c r="I120" s="8"/>
      <c r="J120" s="470"/>
      <c r="K120" s="8"/>
      <c r="L120" s="5"/>
      <c r="M120" s="38"/>
      <c r="N120" s="38"/>
      <c r="O120" s="328"/>
    </row>
    <row r="121" spans="1:15" ht="15.75">
      <c r="B121" s="76"/>
      <c r="C121" s="30"/>
      <c r="D121" s="380" t="s">
        <v>278</v>
      </c>
      <c r="E121" s="471" t="str">
        <f>E49</f>
        <v>Data Sources</v>
      </c>
      <c r="F121" s="472"/>
      <c r="G121" s="8"/>
      <c r="H121" s="8"/>
      <c r="I121" s="8"/>
      <c r="J121" s="30"/>
      <c r="K121" s="8"/>
      <c r="L121" s="471" t="str">
        <f>L49</f>
        <v>Total</v>
      </c>
      <c r="M121" s="38"/>
      <c r="N121" s="38"/>
      <c r="O121" s="328"/>
    </row>
    <row r="122" spans="1:15" ht="15.75">
      <c r="B122" s="15"/>
      <c r="C122" s="25"/>
      <c r="D122" s="473" t="s">
        <v>279</v>
      </c>
      <c r="E122" s="337" t="str">
        <f>E50</f>
        <v>(See "General Notes")</v>
      </c>
      <c r="F122" s="8"/>
      <c r="G122" s="337" t="str">
        <f>G50</f>
        <v>TO Total</v>
      </c>
      <c r="H122" s="121"/>
      <c r="I122" s="1539" t="str">
        <f>I50</f>
        <v>Allocator</v>
      </c>
      <c r="J122" s="1540"/>
      <c r="K122" s="121"/>
      <c r="L122" s="337" t="str">
        <f>L50</f>
        <v>Transmission</v>
      </c>
      <c r="M122" s="38"/>
      <c r="N122" s="38"/>
      <c r="O122" s="328"/>
    </row>
    <row r="123" spans="1:15" ht="15.75">
      <c r="B123" s="36" t="str">
        <f>B51</f>
        <v>Line</v>
      </c>
      <c r="C123" s="5"/>
      <c r="D123" s="14"/>
      <c r="E123" s="8"/>
      <c r="F123" s="8"/>
      <c r="G123" s="473"/>
      <c r="H123" s="116"/>
      <c r="I123" s="380"/>
      <c r="J123" s="5"/>
      <c r="K123" s="116"/>
      <c r="L123" s="473"/>
      <c r="M123" s="38"/>
      <c r="N123" s="38"/>
    </row>
    <row r="124" spans="1:15" ht="15.75" thickBot="1">
      <c r="B124" s="381" t="str">
        <f>B52</f>
        <v>No.</v>
      </c>
      <c r="C124" s="30"/>
      <c r="D124" s="14" t="s">
        <v>280</v>
      </c>
      <c r="E124" s="8"/>
      <c r="F124" s="8"/>
      <c r="G124" s="8"/>
      <c r="H124" s="8"/>
      <c r="I124" s="11"/>
      <c r="J124" s="8"/>
      <c r="K124" s="8"/>
      <c r="L124" s="8"/>
      <c r="M124" s="38"/>
      <c r="N124" s="38"/>
    </row>
    <row r="125" spans="1:15">
      <c r="B125" s="254">
        <f>+B110+1</f>
        <v>63</v>
      </c>
      <c r="C125" s="30"/>
      <c r="D125" s="14" t="s">
        <v>312</v>
      </c>
      <c r="E125" s="8" t="s">
        <v>67</v>
      </c>
      <c r="F125" s="8"/>
      <c r="G125" s="727">
        <f>+'[4]Inputs 2019'!$E$17+'[4]Inputs 2019'!$E$16</f>
        <v>151151159.527807</v>
      </c>
      <c r="H125" s="45"/>
      <c r="I125" s="38"/>
      <c r="J125" s="38"/>
      <c r="K125" s="38"/>
      <c r="L125" s="38"/>
      <c r="M125" s="38"/>
      <c r="N125" s="38"/>
      <c r="O125" s="2"/>
    </row>
    <row r="126" spans="1:15">
      <c r="B126" s="254">
        <f>+B125+1</f>
        <v>64</v>
      </c>
      <c r="C126" s="30"/>
      <c r="D126" s="14" t="s">
        <v>1206</v>
      </c>
      <c r="E126" s="8" t="s">
        <v>1208</v>
      </c>
      <c r="F126" s="8"/>
      <c r="G126" s="727">
        <v>0</v>
      </c>
      <c r="H126" s="45"/>
      <c r="I126" s="38"/>
      <c r="J126" s="38"/>
      <c r="K126" s="38"/>
      <c r="L126" s="38"/>
      <c r="M126" s="38"/>
      <c r="N126" s="38"/>
      <c r="O126" s="2"/>
    </row>
    <row r="127" spans="1:15">
      <c r="A127" s="38"/>
      <c r="B127" s="254">
        <f>+B126+1</f>
        <v>65</v>
      </c>
      <c r="C127" s="30"/>
      <c r="D127" s="14" t="s">
        <v>448</v>
      </c>
      <c r="E127" s="8" t="s">
        <v>215</v>
      </c>
      <c r="F127" s="8"/>
      <c r="G127" s="727">
        <f>+'[4]Inputs 2019'!$E$19</f>
        <v>16315680.867601302</v>
      </c>
      <c r="H127" s="45"/>
      <c r="I127" s="38"/>
      <c r="J127" s="38"/>
      <c r="K127" s="38"/>
      <c r="L127" s="38"/>
      <c r="M127" s="38"/>
      <c r="N127" s="38"/>
      <c r="O127" s="2"/>
    </row>
    <row r="128" spans="1:15">
      <c r="A128" s="38"/>
      <c r="B128" s="254">
        <f>+B127+1</f>
        <v>66</v>
      </c>
      <c r="C128" s="30"/>
      <c r="D128" s="14" t="s">
        <v>243</v>
      </c>
      <c r="E128" s="8" t="s">
        <v>216</v>
      </c>
      <c r="F128" s="8"/>
      <c r="G128" s="727">
        <f>+'[4]Inputs 2019'!$E$20</f>
        <v>117272902.81153101</v>
      </c>
      <c r="H128" s="45"/>
      <c r="I128" s="38"/>
      <c r="J128" s="38"/>
      <c r="K128" s="38"/>
      <c r="L128" s="38"/>
      <c r="M128" s="38"/>
      <c r="N128" s="38"/>
      <c r="O128" s="2"/>
    </row>
    <row r="129" spans="1:15" ht="15.75" thickBot="1">
      <c r="A129" s="38"/>
      <c r="B129" s="254">
        <f>+B128+1</f>
        <v>67</v>
      </c>
      <c r="C129" s="30"/>
      <c r="D129" s="14" t="s">
        <v>1122</v>
      </c>
      <c r="E129" s="8" t="str">
        <f>"Worksheet I ln "&amp;'PSO WS I Exp Adj'!B20&amp;""</f>
        <v>Worksheet I ln 10</v>
      </c>
      <c r="F129" s="8"/>
      <c r="G129" s="203">
        <f>+'PSO WS I Exp Adj'!G20</f>
        <v>0</v>
      </c>
      <c r="H129" s="45"/>
      <c r="I129" s="38"/>
      <c r="J129" s="38"/>
      <c r="K129" s="38"/>
      <c r="L129" s="38"/>
      <c r="M129" s="38"/>
      <c r="N129" s="38"/>
      <c r="O129" s="2"/>
    </row>
    <row r="130" spans="1:15">
      <c r="A130" s="38"/>
      <c r="B130" s="254">
        <f>+B129+1</f>
        <v>68</v>
      </c>
      <c r="C130" s="30"/>
      <c r="D130" s="14" t="s">
        <v>63</v>
      </c>
      <c r="E130" s="8" t="str">
        <f>"(lns "&amp;B125&amp;" - "&amp;B126&amp;"- "&amp;B127&amp;" - "&amp;B128&amp;" + "&amp;B129&amp;")"</f>
        <v>(lns 63 - 64- 65 - 66 + 67)</v>
      </c>
      <c r="F130" s="14"/>
      <c r="G130" s="45">
        <f>+G125-G126-G127-G128+G129</f>
        <v>17562575.848674685</v>
      </c>
      <c r="H130" s="8"/>
      <c r="I130" s="11" t="s">
        <v>297</v>
      </c>
      <c r="J130" s="12">
        <f>+$L$207</f>
        <v>0.93020563200695838</v>
      </c>
      <c r="K130" s="8"/>
      <c r="L130" s="45">
        <f>+J130*G130</f>
        <v>16336806.966986578</v>
      </c>
      <c r="M130" s="38"/>
      <c r="N130" s="38"/>
      <c r="O130" s="2"/>
    </row>
    <row r="131" spans="1:15">
      <c r="A131" s="38"/>
      <c r="B131" s="35"/>
      <c r="C131" s="30"/>
      <c r="D131" s="14"/>
      <c r="E131" s="8"/>
      <c r="F131" s="8"/>
      <c r="G131" s="40"/>
      <c r="H131" s="45"/>
      <c r="I131" s="38"/>
      <c r="J131" s="38"/>
      <c r="K131" s="38"/>
      <c r="L131" s="38"/>
      <c r="M131" s="38"/>
      <c r="N131" s="38"/>
      <c r="O131" s="2"/>
    </row>
    <row r="132" spans="1:15">
      <c r="A132" s="38"/>
      <c r="B132" s="35">
        <f>+B130+1</f>
        <v>69</v>
      </c>
      <c r="C132" s="30"/>
      <c r="D132" s="14" t="s">
        <v>281</v>
      </c>
      <c r="E132" s="8" t="s">
        <v>469</v>
      </c>
      <c r="F132" s="8"/>
      <c r="G132" s="727">
        <f>+'[4]Inputs 2019'!$E$24</f>
        <v>52318259.311119206</v>
      </c>
      <c r="H132" s="45"/>
      <c r="I132" s="127"/>
      <c r="J132" s="127"/>
      <c r="K132" s="8"/>
      <c r="L132" s="45"/>
      <c r="M132" s="38"/>
      <c r="N132" s="38"/>
      <c r="O132" s="2"/>
    </row>
    <row r="133" spans="1:15">
      <c r="A133" s="38"/>
      <c r="B133" s="35">
        <f t="shared" ref="B133:B139" si="6">+B132+1</f>
        <v>70</v>
      </c>
      <c r="C133" s="30"/>
      <c r="D133" s="14" t="s">
        <v>450</v>
      </c>
      <c r="E133" s="8" t="s">
        <v>68</v>
      </c>
      <c r="F133" s="8"/>
      <c r="G133" s="727">
        <f>+'[4]Inputs 2019'!$E$25</f>
        <v>1257930.1208089599</v>
      </c>
      <c r="H133" s="45"/>
      <c r="I133" s="127"/>
      <c r="J133" s="14"/>
      <c r="K133" s="8"/>
      <c r="L133" s="45"/>
      <c r="M133" s="38"/>
      <c r="N133" s="38"/>
      <c r="O133" s="2"/>
    </row>
    <row r="134" spans="1:15">
      <c r="B134" s="35">
        <f t="shared" si="6"/>
        <v>71</v>
      </c>
      <c r="C134" s="30"/>
      <c r="D134" s="14" t="s">
        <v>449</v>
      </c>
      <c r="E134" s="8" t="s">
        <v>217</v>
      </c>
      <c r="F134" s="8"/>
      <c r="G134" s="45">
        <f>+'PSO WS J Misc Exp'!D30</f>
        <v>2394307.6842809501</v>
      </c>
      <c r="H134" s="45"/>
      <c r="I134" s="127"/>
      <c r="J134" s="315"/>
      <c r="K134" s="8"/>
      <c r="L134" s="45"/>
      <c r="M134" s="38"/>
      <c r="N134" s="38"/>
      <c r="O134" s="2"/>
    </row>
    <row r="135" spans="1:15">
      <c r="B135" s="35">
        <f t="shared" si="6"/>
        <v>72</v>
      </c>
      <c r="C135" s="30"/>
      <c r="D135" s="14" t="s">
        <v>284</v>
      </c>
      <c r="E135" s="8" t="s">
        <v>218</v>
      </c>
      <c r="F135" s="8"/>
      <c r="G135" s="45">
        <f>+'PSO WS J Misc Exp'!D40</f>
        <v>220868.309000876</v>
      </c>
      <c r="H135" s="45"/>
      <c r="I135" s="127"/>
      <c r="J135" s="127"/>
      <c r="K135" s="8"/>
      <c r="L135" s="45"/>
      <c r="M135" s="38"/>
      <c r="N135" s="38"/>
      <c r="O135" s="2"/>
    </row>
    <row r="136" spans="1:15" ht="15.75" thickBot="1">
      <c r="B136" s="35">
        <f t="shared" si="6"/>
        <v>73</v>
      </c>
      <c r="C136" s="30"/>
      <c r="D136" s="14" t="s">
        <v>451</v>
      </c>
      <c r="E136" s="8" t="s">
        <v>219</v>
      </c>
      <c r="F136" s="8"/>
      <c r="G136" s="45">
        <f>+'PSO WS J Misc Exp'!D49</f>
        <v>4225195.7624133006</v>
      </c>
      <c r="H136" s="45"/>
      <c r="I136" s="127"/>
      <c r="J136" s="127"/>
      <c r="K136" s="8"/>
      <c r="L136" s="45"/>
      <c r="M136" s="38"/>
      <c r="N136" s="38"/>
      <c r="O136" s="2"/>
    </row>
    <row r="137" spans="1:15">
      <c r="B137" s="35">
        <f t="shared" si="6"/>
        <v>74</v>
      </c>
      <c r="C137" s="30"/>
      <c r="D137" s="14" t="s">
        <v>285</v>
      </c>
      <c r="E137" s="8" t="str">
        <f>"(ln "&amp;B132&amp;" - sum ln "&amp;B133&amp;"  to ln "&amp;B136&amp;")"</f>
        <v>(ln 69 - sum ln 70  to ln 73)</v>
      </c>
      <c r="F137" s="8"/>
      <c r="G137" s="712">
        <f>G132-SUM(G133:G136)</f>
        <v>44219957.43461512</v>
      </c>
      <c r="H137" s="45"/>
      <c r="I137" s="11" t="s">
        <v>309</v>
      </c>
      <c r="J137" s="12">
        <f>+$L$217</f>
        <v>8.2008465586260154E-2</v>
      </c>
      <c r="K137" s="8"/>
      <c r="L137" s="45">
        <f>+J137*G137</f>
        <v>3626410.8575025229</v>
      </c>
      <c r="M137" s="38"/>
      <c r="N137" s="38"/>
      <c r="O137" s="2"/>
    </row>
    <row r="138" spans="1:15">
      <c r="B138" s="35">
        <f t="shared" si="6"/>
        <v>75</v>
      </c>
      <c r="C138" s="30"/>
      <c r="D138" s="14" t="s">
        <v>371</v>
      </c>
      <c r="E138" s="8" t="str">
        <f>"(ln "&amp;B133&amp;")"</f>
        <v>(ln 70)</v>
      </c>
      <c r="F138" s="8"/>
      <c r="G138" s="45">
        <f>+G133</f>
        <v>1257930.1208089599</v>
      </c>
      <c r="H138" s="45"/>
      <c r="I138" s="79" t="s">
        <v>1102</v>
      </c>
      <c r="J138" s="12">
        <f>+$J$62</f>
        <v>0.1638085571919968</v>
      </c>
      <c r="K138" s="8"/>
      <c r="L138" s="45">
        <f>+J138*G138</f>
        <v>206059.71813806996</v>
      </c>
      <c r="M138" s="38"/>
      <c r="N138" s="38"/>
      <c r="O138" s="2"/>
    </row>
    <row r="139" spans="1:15">
      <c r="B139" s="35">
        <f t="shared" si="6"/>
        <v>76</v>
      </c>
      <c r="C139" s="30"/>
      <c r="D139" s="14" t="s">
        <v>408</v>
      </c>
      <c r="E139" s="8" t="str">
        <f>"Worksheet J ln "&amp;'PSO WS J Misc Exp'!A30&amp;".(E) (Note L)"</f>
        <v>Worksheet J ln 16.(E) (Note L)</v>
      </c>
      <c r="F139" s="8"/>
      <c r="G139" s="45">
        <f>+'PSO WS J Misc Exp'!F30</f>
        <v>0</v>
      </c>
      <c r="H139" s="45"/>
      <c r="I139" s="11" t="s">
        <v>297</v>
      </c>
      <c r="J139" s="12">
        <f>+$L$207</f>
        <v>0.93020563200695838</v>
      </c>
      <c r="K139" s="8"/>
      <c r="L139" s="45">
        <f>J139*G139</f>
        <v>0</v>
      </c>
      <c r="M139" s="38"/>
      <c r="N139" s="38"/>
      <c r="O139" s="2"/>
    </row>
    <row r="140" spans="1:15">
      <c r="B140" s="35">
        <f>+B139+1</f>
        <v>77</v>
      </c>
      <c r="C140" s="30"/>
      <c r="D140" s="14" t="s">
        <v>410</v>
      </c>
      <c r="E140" s="8" t="str">
        <f>"Worksheet J ln "&amp;'PSO WS J Misc Exp'!A40&amp;".(E) (Note L)"</f>
        <v>Worksheet J ln 22.(E) (Note L)</v>
      </c>
      <c r="F140" s="8"/>
      <c r="G140" s="49">
        <f>'PSO WS J Misc Exp'!F40</f>
        <v>0</v>
      </c>
      <c r="H140" s="8"/>
      <c r="I140" s="79" t="s">
        <v>1102</v>
      </c>
      <c r="J140" s="12">
        <f>+J62</f>
        <v>0.1638085571919968</v>
      </c>
      <c r="K140" s="8"/>
      <c r="L140" s="49">
        <f>+J140*G140</f>
        <v>0</v>
      </c>
      <c r="M140" s="38"/>
      <c r="N140" s="38"/>
      <c r="O140" s="2"/>
    </row>
    <row r="141" spans="1:15" ht="15.75" thickBot="1">
      <c r="B141" s="35">
        <f>+B140+1</f>
        <v>78</v>
      </c>
      <c r="C141" s="30"/>
      <c r="D141" s="14" t="s">
        <v>411</v>
      </c>
      <c r="E141" s="8" t="str">
        <f>"Worksheet J ln "&amp;'PSO WS J Misc Exp'!A49&amp;".(E) (Note L)"</f>
        <v>Worksheet J ln 28.(E) (Note L)</v>
      </c>
      <c r="F141" s="8"/>
      <c r="G141" s="49">
        <f>'PSO WS J Misc Exp'!F49</f>
        <v>0</v>
      </c>
      <c r="H141" s="8"/>
      <c r="I141" s="11" t="s">
        <v>306</v>
      </c>
      <c r="J141" s="12">
        <v>1</v>
      </c>
      <c r="K141" s="8"/>
      <c r="L141" s="49">
        <f>J141*G141</f>
        <v>0</v>
      </c>
      <c r="M141" s="38"/>
      <c r="N141" s="38"/>
      <c r="O141" s="2"/>
    </row>
    <row r="142" spans="1:15">
      <c r="B142" s="35">
        <f>+B141+1</f>
        <v>79</v>
      </c>
      <c r="C142" s="30"/>
      <c r="D142" s="14" t="s">
        <v>286</v>
      </c>
      <c r="E142" s="134" t="str">
        <f>"(sum lns "&amp;B137&amp;" to "&amp;B141&amp;")"</f>
        <v>(sum lns 74 to 78)</v>
      </c>
      <c r="F142" s="8"/>
      <c r="G142" s="712">
        <f>SUM(G137:G141)</f>
        <v>45477887.555424079</v>
      </c>
      <c r="H142" s="45"/>
      <c r="I142" s="11"/>
      <c r="J142" s="127"/>
      <c r="K142" s="8"/>
      <c r="L142" s="712">
        <f>SUM(L137:L141)</f>
        <v>3832470.5756405927</v>
      </c>
      <c r="M142" s="38"/>
      <c r="N142" s="38"/>
      <c r="O142" s="2"/>
    </row>
    <row r="143" spans="1:15" ht="15.75" thickBot="1">
      <c r="B143" s="35"/>
      <c r="C143" s="30"/>
      <c r="D143" s="14"/>
      <c r="E143" s="8"/>
      <c r="F143" s="8"/>
      <c r="G143" s="46"/>
      <c r="H143" s="45"/>
      <c r="I143" s="11"/>
      <c r="J143" s="127"/>
      <c r="K143" s="8"/>
      <c r="L143" s="46"/>
      <c r="M143" s="38"/>
      <c r="N143" s="38"/>
      <c r="O143" s="2"/>
    </row>
    <row r="144" spans="1:15">
      <c r="B144" s="35">
        <f>+B142+1</f>
        <v>80</v>
      </c>
      <c r="C144" s="30"/>
      <c r="D144" s="14" t="s">
        <v>287</v>
      </c>
      <c r="E144" s="8" t="str">
        <f>"(ln "&amp;B130&amp;" + ln "&amp;B142&amp;")"</f>
        <v>(ln 68 + ln 79)</v>
      </c>
      <c r="F144" s="8"/>
      <c r="G144" s="45">
        <f>G130+G142</f>
        <v>63040463.404098764</v>
      </c>
      <c r="H144" s="45"/>
      <c r="I144" s="11"/>
      <c r="J144" s="130"/>
      <c r="K144" s="8"/>
      <c r="L144" s="45">
        <f>+L142+L130</f>
        <v>20169277.542627171</v>
      </c>
      <c r="M144" s="38"/>
      <c r="N144" s="38"/>
      <c r="O144" s="2"/>
    </row>
    <row r="145" spans="2:15">
      <c r="B145" s="35"/>
      <c r="C145" s="30"/>
      <c r="D145" s="14"/>
      <c r="E145" s="8"/>
      <c r="F145" s="8"/>
      <c r="G145" s="49"/>
      <c r="H145" s="21"/>
      <c r="I145" s="9"/>
      <c r="J145" s="479"/>
      <c r="K145" s="21"/>
      <c r="L145" s="49"/>
      <c r="M145" s="38"/>
      <c r="N145" s="38"/>
      <c r="O145" s="2"/>
    </row>
    <row r="146" spans="2:15">
      <c r="B146" s="35">
        <f>+B144+1</f>
        <v>81</v>
      </c>
      <c r="C146" s="30"/>
      <c r="D146" s="16" t="s">
        <v>290</v>
      </c>
      <c r="E146" s="11"/>
      <c r="F146" s="11"/>
      <c r="G146" s="49"/>
      <c r="H146" s="21"/>
      <c r="I146" s="9"/>
      <c r="J146" s="21"/>
      <c r="K146" s="21"/>
      <c r="L146" s="49"/>
      <c r="M146" s="38"/>
      <c r="N146" s="38"/>
      <c r="O146" s="2"/>
    </row>
    <row r="147" spans="2:15">
      <c r="B147" s="35">
        <f t="shared" ref="B147:B152" si="7">+B146+1</f>
        <v>82</v>
      </c>
      <c r="C147" s="30"/>
      <c r="D147" s="170" t="s">
        <v>305</v>
      </c>
      <c r="E147" s="134" t="s">
        <v>1424</v>
      </c>
      <c r="F147" s="10"/>
      <c r="G147" s="727">
        <f>+'[4]Inputs 2019'!$E$42</f>
        <v>23388402.214859501</v>
      </c>
      <c r="H147" s="21"/>
      <c r="I147" s="9"/>
      <c r="J147" s="21"/>
      <c r="K147" s="21"/>
      <c r="L147" s="49"/>
      <c r="M147" s="38"/>
      <c r="N147" s="38"/>
      <c r="O147" s="2"/>
    </row>
    <row r="148" spans="2:15" ht="15.75" thickBot="1">
      <c r="B148" s="35">
        <f t="shared" si="7"/>
        <v>83</v>
      </c>
      <c r="C148" s="30"/>
      <c r="D148" s="14" t="s">
        <v>1206</v>
      </c>
      <c r="E148" s="8" t="s">
        <v>1208</v>
      </c>
      <c r="F148" s="8"/>
      <c r="G148" s="727">
        <v>0</v>
      </c>
      <c r="H148"/>
      <c r="I148"/>
      <c r="J148"/>
      <c r="K148"/>
      <c r="L148"/>
      <c r="M148" s="38"/>
      <c r="N148" s="38"/>
      <c r="O148" s="2"/>
    </row>
    <row r="149" spans="2:15">
      <c r="B149" s="35">
        <f t="shared" si="7"/>
        <v>84</v>
      </c>
      <c r="C149" s="30"/>
      <c r="D149" s="170" t="s">
        <v>1209</v>
      </c>
      <c r="E149" s="8" t="str">
        <f>"(ln "&amp;B147&amp;" - ln "&amp;B148&amp;")"</f>
        <v>(ln 82 - ln 83)</v>
      </c>
      <c r="F149" s="10"/>
      <c r="G149" s="712">
        <f>+G147-G148</f>
        <v>23388402.214859501</v>
      </c>
      <c r="H149" s="45"/>
      <c r="I149" s="118" t="s">
        <v>297</v>
      </c>
      <c r="J149" s="12">
        <f>+L207</f>
        <v>0.93020563200695838</v>
      </c>
      <c r="K149" s="115"/>
      <c r="L149" s="119">
        <f>+G149*J149</f>
        <v>21756023.463906325</v>
      </c>
      <c r="M149" s="38"/>
      <c r="N149" s="38"/>
      <c r="O149" s="2"/>
    </row>
    <row r="150" spans="2:15">
      <c r="B150" s="35">
        <f t="shared" si="7"/>
        <v>85</v>
      </c>
      <c r="C150" s="30"/>
      <c r="D150" s="16" t="s">
        <v>313</v>
      </c>
      <c r="E150" s="10" t="s">
        <v>1425</v>
      </c>
      <c r="F150" s="8"/>
      <c r="G150" s="727">
        <f>+'[4]Inputs 2019'!$E$43</f>
        <v>6968938.0722648902</v>
      </c>
      <c r="H150" s="45"/>
      <c r="I150" s="11" t="s">
        <v>309</v>
      </c>
      <c r="J150" s="12">
        <f>+$L$217</f>
        <v>8.2008465586260154E-2</v>
      </c>
      <c r="K150" s="8"/>
      <c r="L150" s="45">
        <f>+J150*G150</f>
        <v>571511.91807211342</v>
      </c>
      <c r="M150" s="38"/>
      <c r="N150" s="38"/>
      <c r="O150" s="2"/>
    </row>
    <row r="151" spans="2:15" ht="15.75" thickBot="1">
      <c r="B151" s="35">
        <f t="shared" si="7"/>
        <v>86</v>
      </c>
      <c r="C151" s="30"/>
      <c r="D151" s="16" t="s">
        <v>314</v>
      </c>
      <c r="E151" s="10" t="s">
        <v>1426</v>
      </c>
      <c r="F151" s="8"/>
      <c r="G151" s="727">
        <f>+'[4]Inputs 2019'!$E$44</f>
        <v>14001292.5880458</v>
      </c>
      <c r="H151" s="45"/>
      <c r="I151" s="11" t="s">
        <v>309</v>
      </c>
      <c r="J151" s="12">
        <f>+L217</f>
        <v>8.2008465586260154E-2</v>
      </c>
      <c r="K151" s="8"/>
      <c r="L151" s="46">
        <f>+J151*G151</f>
        <v>1148224.5213699134</v>
      </c>
      <c r="M151" s="38"/>
      <c r="N151" s="38"/>
      <c r="O151" s="2"/>
    </row>
    <row r="152" spans="2:15">
      <c r="B152" s="35">
        <f t="shared" si="7"/>
        <v>87</v>
      </c>
      <c r="C152" s="30"/>
      <c r="D152" s="16" t="s">
        <v>436</v>
      </c>
      <c r="E152" s="134" t="str">
        <f>"(sum lns "&amp;B149&amp;" to "&amp;B151&amp;")"</f>
        <v>(sum lns 84 to 86)</v>
      </c>
      <c r="F152" s="8"/>
      <c r="G152" s="712">
        <f>SUM(G149:G151)</f>
        <v>44358632.875170194</v>
      </c>
      <c r="H152" s="8"/>
      <c r="I152" s="11"/>
      <c r="J152" s="8"/>
      <c r="K152" s="8"/>
      <c r="L152" s="45">
        <f>SUM(L149:L151)</f>
        <v>23475759.903348349</v>
      </c>
      <c r="M152" s="38"/>
      <c r="N152" s="38"/>
      <c r="O152" s="2"/>
    </row>
    <row r="153" spans="2:15">
      <c r="B153" s="35"/>
      <c r="C153" s="30"/>
      <c r="D153" s="16"/>
      <c r="E153" s="134"/>
      <c r="F153" s="8"/>
      <c r="G153" s="45"/>
      <c r="H153" s="8"/>
      <c r="I153" s="11"/>
      <c r="J153" s="8"/>
      <c r="K153" s="8"/>
      <c r="L153" s="45"/>
      <c r="M153" s="38"/>
      <c r="N153" s="38"/>
      <c r="O153" s="2"/>
    </row>
    <row r="154" spans="2:15">
      <c r="B154" s="35">
        <f>+B152+1</f>
        <v>88</v>
      </c>
      <c r="C154" s="30"/>
      <c r="D154" s="16" t="s">
        <v>249</v>
      </c>
      <c r="E154" s="8" t="s">
        <v>468</v>
      </c>
      <c r="F154" s="5"/>
      <c r="G154" s="45"/>
      <c r="H154" s="8"/>
      <c r="I154" s="11"/>
      <c r="J154" s="8"/>
      <c r="K154" s="8"/>
      <c r="L154" s="45"/>
      <c r="M154" s="38"/>
      <c r="N154" s="38"/>
      <c r="O154" s="2"/>
    </row>
    <row r="155" spans="2:15">
      <c r="B155" s="35">
        <f t="shared" ref="B155:B161" si="8">+B154+1</f>
        <v>89</v>
      </c>
      <c r="C155" s="30"/>
      <c r="D155" s="16" t="s">
        <v>315</v>
      </c>
      <c r="E155" s="5"/>
      <c r="F155" s="5"/>
      <c r="G155" s="45"/>
      <c r="H155" s="8"/>
      <c r="I155" s="11"/>
      <c r="J155" s="5"/>
      <c r="K155" s="8"/>
      <c r="L155" s="45"/>
      <c r="M155" s="38"/>
      <c r="N155" s="38"/>
      <c r="O155" s="2"/>
    </row>
    <row r="156" spans="2:15">
      <c r="B156" s="35">
        <f t="shared" si="8"/>
        <v>90</v>
      </c>
      <c r="C156" s="30"/>
      <c r="D156" s="16" t="s">
        <v>316</v>
      </c>
      <c r="E156" s="8" t="s">
        <v>220</v>
      </c>
      <c r="F156" s="8"/>
      <c r="G156" s="45">
        <f>+'PSO WS L Other Taxes'!I53</f>
        <v>5875574.4179633884</v>
      </c>
      <c r="H156" s="45"/>
      <c r="I156" s="11" t="s">
        <v>309</v>
      </c>
      <c r="J156" s="12">
        <f>+L217</f>
        <v>8.2008465586260154E-2</v>
      </c>
      <c r="K156" s="8"/>
      <c r="L156" s="45">
        <f>+J156*G156</f>
        <v>481846.84245506109</v>
      </c>
      <c r="M156" s="38"/>
      <c r="N156" s="38"/>
      <c r="O156" s="2"/>
    </row>
    <row r="157" spans="2:15">
      <c r="B157" s="35">
        <f t="shared" si="8"/>
        <v>91</v>
      </c>
      <c r="C157" s="30"/>
      <c r="D157" s="16" t="s">
        <v>317</v>
      </c>
      <c r="E157" s="8" t="s">
        <v>291</v>
      </c>
      <c r="F157" s="8"/>
      <c r="G157" s="45"/>
      <c r="H157" s="45"/>
      <c r="I157" s="11"/>
      <c r="J157" s="5"/>
      <c r="K157" s="8"/>
      <c r="L157" s="45"/>
      <c r="M157" s="38"/>
      <c r="N157" s="38"/>
      <c r="O157" s="2"/>
    </row>
    <row r="158" spans="2:15">
      <c r="B158" s="35">
        <f t="shared" si="8"/>
        <v>92</v>
      </c>
      <c r="C158" s="30"/>
      <c r="D158" s="16" t="s">
        <v>318</v>
      </c>
      <c r="E158" s="8" t="s">
        <v>221</v>
      </c>
      <c r="F158" s="8"/>
      <c r="G158" s="45">
        <f>+'PSO WS L Other Taxes'!G53</f>
        <v>40421500</v>
      </c>
      <c r="H158" s="45"/>
      <c r="I158" s="11" t="s">
        <v>1102</v>
      </c>
      <c r="J158" s="12">
        <f>+J62</f>
        <v>0.1638085571919968</v>
      </c>
      <c r="K158" s="8"/>
      <c r="L158" s="45">
        <f>+G158*J158</f>
        <v>6621387.5945362989</v>
      </c>
      <c r="M158" s="38"/>
      <c r="N158" s="38"/>
      <c r="O158" s="2"/>
    </row>
    <row r="159" spans="2:15">
      <c r="B159" s="35">
        <f t="shared" si="8"/>
        <v>93</v>
      </c>
      <c r="C159" s="30"/>
      <c r="D159" s="16" t="s">
        <v>1210</v>
      </c>
      <c r="E159" s="8" t="s">
        <v>222</v>
      </c>
      <c r="F159" s="8"/>
      <c r="G159" s="45">
        <f>+'PSO WS L Other Taxes'!M53</f>
        <v>0</v>
      </c>
      <c r="H159" s="38"/>
      <c r="I159" s="11" t="s">
        <v>304</v>
      </c>
      <c r="J159" s="12">
        <v>0</v>
      </c>
      <c r="K159" s="8"/>
      <c r="L159" s="45">
        <f>+J159*G159</f>
        <v>0</v>
      </c>
      <c r="M159" s="38"/>
      <c r="N159" s="38"/>
      <c r="O159" s="2"/>
    </row>
    <row r="160" spans="2:15" ht="15.75" thickBot="1">
      <c r="B160" s="35">
        <f t="shared" si="8"/>
        <v>94</v>
      </c>
      <c r="C160" s="30"/>
      <c r="D160" s="16" t="s">
        <v>355</v>
      </c>
      <c r="E160" s="8" t="s">
        <v>223</v>
      </c>
      <c r="F160" s="8"/>
      <c r="G160" s="46">
        <f>+'PSO WS L Other Taxes'!K53</f>
        <v>194000</v>
      </c>
      <c r="H160" s="38"/>
      <c r="I160" s="11" t="s">
        <v>1102</v>
      </c>
      <c r="J160" s="12">
        <f>+J62</f>
        <v>0.1638085571919968</v>
      </c>
      <c r="K160" s="8"/>
      <c r="L160" s="46">
        <f>+J160*G160</f>
        <v>31778.860095247379</v>
      </c>
      <c r="M160" s="38"/>
      <c r="N160" s="38"/>
      <c r="O160" s="2"/>
    </row>
    <row r="161" spans="2:15">
      <c r="B161" s="35">
        <f t="shared" si="8"/>
        <v>95</v>
      </c>
      <c r="C161" s="30"/>
      <c r="D161" s="16" t="s">
        <v>250</v>
      </c>
      <c r="E161" s="134" t="str">
        <f>"(sum lns "&amp;B156&amp;" to "&amp;B160&amp;")"</f>
        <v>(sum lns 90 to 94)</v>
      </c>
      <c r="F161" s="8"/>
      <c r="G161" s="45">
        <f>SUM(G156:G160)</f>
        <v>46491074.417963386</v>
      </c>
      <c r="H161" s="8"/>
      <c r="I161" s="11"/>
      <c r="J161" s="277"/>
      <c r="K161" s="8"/>
      <c r="L161" s="45">
        <f>SUM(L156:L160)</f>
        <v>7135013.2970866077</v>
      </c>
      <c r="M161" s="38"/>
      <c r="N161" s="38"/>
      <c r="O161" s="2"/>
    </row>
    <row r="162" spans="2:15">
      <c r="B162" s="35"/>
      <c r="C162" s="30"/>
      <c r="D162" s="16"/>
      <c r="E162" s="8"/>
      <c r="F162" s="8"/>
      <c r="G162" s="8"/>
      <c r="H162" s="8"/>
      <c r="I162" s="11"/>
      <c r="J162" s="277"/>
      <c r="K162" s="8"/>
      <c r="L162" s="8"/>
      <c r="M162" s="38"/>
      <c r="N162" s="38"/>
      <c r="O162" s="2"/>
    </row>
    <row r="163" spans="2:15">
      <c r="B163" s="35">
        <f>+B161+1</f>
        <v>96</v>
      </c>
      <c r="C163" s="30"/>
      <c r="D163" s="16" t="s">
        <v>454</v>
      </c>
      <c r="E163" s="8" t="s">
        <v>467</v>
      </c>
      <c r="F163" s="257"/>
      <c r="G163" s="8"/>
      <c r="H163" s="38"/>
      <c r="I163" s="32"/>
      <c r="J163" s="5"/>
      <c r="K163" s="8"/>
      <c r="L163" s="5"/>
      <c r="M163" s="38"/>
      <c r="N163" s="38"/>
      <c r="O163" s="2"/>
    </row>
    <row r="164" spans="2:15">
      <c r="B164" s="35">
        <f t="shared" ref="B164:B171" si="9">+B163+1</f>
        <v>97</v>
      </c>
      <c r="C164" s="30"/>
      <c r="D164" s="17" t="s">
        <v>455</v>
      </c>
      <c r="E164" s="8"/>
      <c r="F164" s="258"/>
      <c r="G164" s="166">
        <f>IF(F295&gt;0,1-(((1-F296)*(1-F295))/(1-F296*F295*F297)),0)</f>
        <v>0.2533709999999999</v>
      </c>
      <c r="H164" s="265"/>
      <c r="I164" s="32"/>
      <c r="J164" s="265"/>
      <c r="K164" s="8"/>
      <c r="L164" s="5"/>
      <c r="M164" s="38"/>
      <c r="N164" s="38"/>
      <c r="O164" s="2"/>
    </row>
    <row r="165" spans="2:15">
      <c r="B165" s="35">
        <f t="shared" si="9"/>
        <v>98</v>
      </c>
      <c r="C165" s="30"/>
      <c r="D165" s="22" t="s">
        <v>456</v>
      </c>
      <c r="E165" s="8"/>
      <c r="F165" s="258"/>
      <c r="G165" s="166">
        <f>IF(L231&gt;0,($G164/(1-$G164))*(1-$L231/$L234),0)</f>
        <v>0.22915777847180038</v>
      </c>
      <c r="H165" s="265"/>
      <c r="I165" s="32"/>
      <c r="J165" s="5"/>
      <c r="K165" s="8"/>
      <c r="L165" s="5"/>
      <c r="M165" s="38"/>
      <c r="N165" s="38"/>
      <c r="O165" s="2"/>
    </row>
    <row r="166" spans="2:15">
      <c r="B166" s="35">
        <f t="shared" si="9"/>
        <v>99</v>
      </c>
      <c r="C166" s="30"/>
      <c r="D166" s="16" t="str">
        <f>"       where WCLTD=(ln "&amp;B231&amp;") and WACC = (ln "&amp;B234&amp;")"</f>
        <v xml:space="preserve">       where WCLTD=(ln 139) and WACC = (ln 142)</v>
      </c>
      <c r="E166" s="8"/>
      <c r="F166" s="257"/>
      <c r="G166" s="8"/>
      <c r="H166" s="38"/>
      <c r="I166" s="32"/>
      <c r="J166" s="480"/>
      <c r="K166" s="8"/>
      <c r="L166" s="481"/>
      <c r="M166" s="38"/>
      <c r="N166" s="38"/>
      <c r="O166" s="2"/>
    </row>
    <row r="167" spans="2:15">
      <c r="B167" s="35">
        <f t="shared" si="9"/>
        <v>100</v>
      </c>
      <c r="C167" s="30"/>
      <c r="D167" s="16" t="s">
        <v>466</v>
      </c>
      <c r="E167" s="275"/>
      <c r="F167" s="258"/>
      <c r="G167" s="8"/>
      <c r="H167" s="38"/>
      <c r="I167" s="32"/>
      <c r="J167" s="480"/>
      <c r="K167" s="8"/>
      <c r="L167" s="5"/>
      <c r="M167" s="38"/>
      <c r="N167" s="38"/>
      <c r="O167" s="2"/>
    </row>
    <row r="168" spans="2:15">
      <c r="B168" s="35">
        <f t="shared" si="9"/>
        <v>101</v>
      </c>
      <c r="C168" s="30"/>
      <c r="D168" s="17" t="str">
        <f>"      GRCF=1 / (1 - T)  = (from ln "&amp;B164&amp;")"</f>
        <v xml:space="preserve">      GRCF=1 / (1 - T)  = (from ln 97)</v>
      </c>
      <c r="E168" s="257"/>
      <c r="F168" s="257"/>
      <c r="G168" s="167">
        <f>IF(G164&gt;0,1/(1-G164),0)</f>
        <v>1.3393532798752792</v>
      </c>
      <c r="H168" s="38"/>
      <c r="I168" s="79"/>
      <c r="J168" s="482"/>
      <c r="K168" s="45"/>
      <c r="L168" s="295"/>
      <c r="M168" s="38"/>
      <c r="N168" s="38"/>
      <c r="O168" s="2"/>
    </row>
    <row r="169" spans="2:15">
      <c r="B169" s="35">
        <f t="shared" si="9"/>
        <v>102</v>
      </c>
      <c r="C169" s="30"/>
      <c r="D169" s="16" t="s">
        <v>457</v>
      </c>
      <c r="E169" s="127" t="s">
        <v>211</v>
      </c>
      <c r="F169" s="257"/>
      <c r="G169" s="727">
        <f>+'[4]Inputs 2019'!$E$57</f>
        <v>-1587956</v>
      </c>
      <c r="H169" s="38"/>
      <c r="I169" s="79"/>
      <c r="J169" s="483"/>
      <c r="K169" s="45"/>
      <c r="M169" s="38"/>
      <c r="N169" s="38"/>
      <c r="O169" s="2"/>
    </row>
    <row r="170" spans="2:15">
      <c r="B170" s="35">
        <f t="shared" si="9"/>
        <v>103</v>
      </c>
      <c r="C170" s="30"/>
      <c r="D170" s="13" t="s">
        <v>556</v>
      </c>
      <c r="E170" s="127" t="s">
        <v>1423</v>
      </c>
      <c r="F170" s="257"/>
      <c r="G170" s="727">
        <f>+'[4]Inputs 2019'!$E$58</f>
        <v>-22631096</v>
      </c>
      <c r="H170" s="38"/>
      <c r="I170" s="79" t="s">
        <v>306</v>
      </c>
      <c r="J170" s="483"/>
      <c r="K170" s="728"/>
      <c r="L170" s="727">
        <f>+'[4]Inputs 2019'!$F$58</f>
        <v>-1910601</v>
      </c>
      <c r="M170" s="38"/>
      <c r="N170" s="38"/>
      <c r="O170" s="2"/>
    </row>
    <row r="171" spans="2:15">
      <c r="B171" s="35">
        <f t="shared" si="9"/>
        <v>104</v>
      </c>
      <c r="C171" s="30"/>
      <c r="D171" s="13" t="s">
        <v>1009</v>
      </c>
      <c r="E171" s="127" t="s">
        <v>1423</v>
      </c>
      <c r="F171" s="257"/>
      <c r="G171" s="727">
        <f>+'[4]Inputs 2019'!$E$59</f>
        <v>550410</v>
      </c>
      <c r="H171" s="38"/>
      <c r="I171" s="79" t="s">
        <v>306</v>
      </c>
      <c r="J171" s="483"/>
      <c r="K171" s="728"/>
      <c r="L171" s="727">
        <f>+'[4]Inputs 2019'!$F$59</f>
        <v>60480</v>
      </c>
      <c r="M171" s="38"/>
      <c r="N171" s="38"/>
      <c r="O171" s="2"/>
    </row>
    <row r="172" spans="2:15">
      <c r="B172" s="35"/>
      <c r="C172" s="30"/>
      <c r="D172" s="16"/>
      <c r="E172" s="8"/>
      <c r="F172" s="258"/>
      <c r="G172" s="45"/>
      <c r="H172" s="38"/>
      <c r="I172" s="79"/>
      <c r="J172" s="481"/>
      <c r="K172" s="45"/>
      <c r="L172" s="5"/>
      <c r="M172" s="38"/>
      <c r="N172" s="38"/>
      <c r="O172" s="2"/>
    </row>
    <row r="173" spans="2:15">
      <c r="B173" s="35">
        <f>+B171+1</f>
        <v>105</v>
      </c>
      <c r="C173" s="30"/>
      <c r="D173" s="17" t="s">
        <v>474</v>
      </c>
      <c r="E173" s="18" t="str">
        <f>"(ln "&amp;B165&amp;" * ln "&amp;B180&amp;")"</f>
        <v>(ln 98 * ln 110)</v>
      </c>
      <c r="F173" s="60"/>
      <c r="G173" s="45">
        <f>+G165*G180</f>
        <v>46947804.943414256</v>
      </c>
      <c r="H173" s="38"/>
      <c r="I173" s="79"/>
      <c r="J173" s="481"/>
      <c r="K173" s="45"/>
      <c r="L173" s="45">
        <f>+L180*G165</f>
        <v>9249647.8399883192</v>
      </c>
      <c r="M173" s="38"/>
      <c r="N173" s="38"/>
      <c r="O173" s="2"/>
    </row>
    <row r="174" spans="2:15">
      <c r="B174" s="35">
        <f>+B173+1</f>
        <v>106</v>
      </c>
      <c r="C174" s="30"/>
      <c r="D174" s="22" t="s">
        <v>475</v>
      </c>
      <c r="E174" s="18" t="str">
        <f>"(ln "&amp;B168&amp;" * ln "&amp;B169&amp;")"</f>
        <v>(ln 101 * ln 102)</v>
      </c>
      <c r="F174" s="18"/>
      <c r="G174" s="49">
        <f>G168*G169</f>
        <v>-2126834.0768976291</v>
      </c>
      <c r="H174" s="38"/>
      <c r="I174" s="79" t="s">
        <v>1103</v>
      </c>
      <c r="J174" s="12">
        <f>+J82</f>
        <v>0.18507597406824849</v>
      </c>
      <c r="K174" s="45"/>
      <c r="L174" s="49">
        <f>+G174*J174</f>
        <v>-393625.88846337283</v>
      </c>
      <c r="M174" s="38"/>
      <c r="N174" s="38"/>
      <c r="O174" s="2"/>
    </row>
    <row r="175" spans="2:15">
      <c r="B175" s="35">
        <f>+B174+1</f>
        <v>107</v>
      </c>
      <c r="C175" s="30"/>
      <c r="D175" s="13" t="s">
        <v>556</v>
      </c>
      <c r="E175" s="18" t="str">
        <f>"(ln "&amp;B168&amp;" * ln "&amp;B170&amp;")"</f>
        <v>(ln 101 * ln 103)</v>
      </c>
      <c r="F175" s="18"/>
      <c r="G175" s="49">
        <f>G168*G170</f>
        <v>-30311032.654772311</v>
      </c>
      <c r="H175" s="38"/>
      <c r="I175" s="79" t="s">
        <v>306</v>
      </c>
      <c r="J175" s="12"/>
      <c r="K175" s="45"/>
      <c r="L175" s="49">
        <f>G168*L170</f>
        <v>-2558969.7158829882</v>
      </c>
      <c r="M175" s="38"/>
      <c r="N175" s="38"/>
      <c r="O175" s="2"/>
    </row>
    <row r="176" spans="2:15">
      <c r="B176" s="35">
        <f>+B175+1</f>
        <v>108</v>
      </c>
      <c r="C176" s="30"/>
      <c r="D176" s="13" t="s">
        <v>1009</v>
      </c>
      <c r="E176" s="18" t="str">
        <f>"(ln "&amp;B168&amp;" * ln "&amp;B171&amp;")"</f>
        <v>(ln 101 * ln 104)</v>
      </c>
      <c r="F176" s="18"/>
      <c r="G176" s="49">
        <f>G168*G171</f>
        <v>737193.43877615244</v>
      </c>
      <c r="H176" s="38"/>
      <c r="I176" s="79" t="s">
        <v>306</v>
      </c>
      <c r="J176" s="12"/>
      <c r="K176" s="45"/>
      <c r="L176" s="49">
        <f>G168*L171</f>
        <v>81004.086366856878</v>
      </c>
      <c r="M176" s="38"/>
      <c r="N176" s="38"/>
      <c r="O176" s="2"/>
    </row>
    <row r="177" spans="2:15">
      <c r="B177" s="35"/>
      <c r="C177" s="30"/>
      <c r="D177" s="13"/>
      <c r="E177" s="18"/>
      <c r="F177" s="18"/>
      <c r="G177" s="49"/>
      <c r="H177" s="38"/>
      <c r="I177" s="50"/>
      <c r="J177" s="12"/>
      <c r="K177" s="45"/>
      <c r="L177" s="49"/>
      <c r="M177" s="38"/>
      <c r="N177" s="38"/>
      <c r="O177" s="2"/>
    </row>
    <row r="178" spans="2:15">
      <c r="B178" s="35">
        <f>+B176+1</f>
        <v>109</v>
      </c>
      <c r="C178" s="30"/>
      <c r="D178" s="17" t="s">
        <v>251</v>
      </c>
      <c r="E178" s="8" t="str">
        <f>"(sum lns "&amp;B173&amp;" to "&amp;B176&amp;")"</f>
        <v>(sum lns 105 to 108)</v>
      </c>
      <c r="F178" s="18"/>
      <c r="G178" s="50">
        <f>SUM(G173:G176)</f>
        <v>15247131.650520468</v>
      </c>
      <c r="H178" s="38"/>
      <c r="I178" s="79" t="s">
        <v>291</v>
      </c>
      <c r="J178" s="276"/>
      <c r="K178" s="45"/>
      <c r="L178" s="45">
        <f>SUM(L173:L176)</f>
        <v>6378056.3220088147</v>
      </c>
      <c r="M178" s="38"/>
      <c r="N178" s="38"/>
      <c r="O178" s="2"/>
    </row>
    <row r="179" spans="2:15">
      <c r="B179" s="35"/>
      <c r="C179" s="30"/>
      <c r="D179" s="16"/>
      <c r="E179" s="8"/>
      <c r="F179" s="8"/>
      <c r="G179" s="8"/>
      <c r="H179" s="8"/>
      <c r="I179" s="11"/>
      <c r="J179" s="277"/>
      <c r="K179" s="8"/>
      <c r="L179" s="8"/>
      <c r="M179" s="38"/>
      <c r="N179" s="38"/>
      <c r="O179" s="2"/>
    </row>
    <row r="180" spans="2:15">
      <c r="B180" s="35">
        <f>+B178+1</f>
        <v>110</v>
      </c>
      <c r="C180" s="30"/>
      <c r="D180" s="17" t="s">
        <v>373</v>
      </c>
      <c r="E180" s="17" t="str">
        <f>"(ln "&amp;B110&amp;" * ln "&amp;B234&amp;")"</f>
        <v>(ln 62 * ln 142)</v>
      </c>
      <c r="F180" s="128"/>
      <c r="G180" s="45">
        <f>+$L234*G110</f>
        <v>204871094.73873496</v>
      </c>
      <c r="H180" s="8"/>
      <c r="I180" s="79"/>
      <c r="J180" s="45"/>
      <c r="K180" s="45"/>
      <c r="L180" s="45">
        <f>+L234*L110</f>
        <v>40363665.164115556</v>
      </c>
      <c r="M180" s="38"/>
      <c r="N180" s="38"/>
    </row>
    <row r="181" spans="2:15">
      <c r="B181" s="35"/>
      <c r="C181" s="30"/>
      <c r="D181" s="17"/>
      <c r="E181" s="5"/>
      <c r="F181" s="5"/>
      <c r="G181" s="45"/>
      <c r="H181" s="45"/>
      <c r="I181" s="79"/>
      <c r="J181" s="79"/>
      <c r="K181" s="45"/>
      <c r="L181" s="45"/>
      <c r="M181" s="38"/>
      <c r="N181" s="38"/>
    </row>
    <row r="182" spans="2:15">
      <c r="B182" s="35">
        <f>+B180+1</f>
        <v>111</v>
      </c>
      <c r="C182" s="30"/>
      <c r="D182" s="47" t="str">
        <f>"INTEREST ON IPP CONTRIBUTION FOR CONST. (Note E) (Worksheet E, ln "&amp;'PSO WS E IPP Credits'!A11&amp;")"</f>
        <v>INTEREST ON IPP CONTRIBUTION FOR CONST. (Note E) (Worksheet E, ln 2)</v>
      </c>
      <c r="E182" s="5"/>
      <c r="F182" s="10"/>
      <c r="G182" s="45">
        <f>'PSO WS E IPP Credits'!C11</f>
        <v>0</v>
      </c>
      <c r="H182" s="45"/>
      <c r="I182" s="175" t="s">
        <v>306</v>
      </c>
      <c r="J182" s="12">
        <v>1</v>
      </c>
      <c r="K182" s="119"/>
      <c r="L182" s="45">
        <f>+J182*G182</f>
        <v>0</v>
      </c>
      <c r="M182" s="38"/>
      <c r="N182" s="38"/>
    </row>
    <row r="183" spans="2:15" ht="15.75" thickBot="1">
      <c r="B183" s="35"/>
      <c r="C183" s="30"/>
      <c r="D183" s="16"/>
      <c r="E183" s="5"/>
      <c r="F183" s="5"/>
      <c r="G183" s="46"/>
      <c r="H183" s="484"/>
      <c r="I183" s="79"/>
      <c r="J183" s="79"/>
      <c r="K183" s="45"/>
      <c r="L183" s="46"/>
      <c r="M183" s="38"/>
      <c r="N183" s="38"/>
    </row>
    <row r="184" spans="2:15" ht="15.75" thickBot="1">
      <c r="B184" s="35">
        <f>+B182+1</f>
        <v>112</v>
      </c>
      <c r="C184" s="30"/>
      <c r="D184" s="14" t="s">
        <v>170</v>
      </c>
      <c r="E184" s="478"/>
      <c r="F184" s="478"/>
      <c r="G184" s="477">
        <f>G144+G152+G161+G178+G180+G182</f>
        <v>374008397.08648777</v>
      </c>
      <c r="H184" s="45"/>
      <c r="I184" s="79"/>
      <c r="J184" s="130"/>
      <c r="K184" s="45"/>
      <c r="L184" s="477">
        <f>L144+L152+L161+L178+L180+L182</f>
        <v>97521772.229186505</v>
      </c>
      <c r="M184" s="38"/>
      <c r="N184" s="38"/>
    </row>
    <row r="185" spans="2:15" ht="15.75" thickTop="1">
      <c r="B185" s="35">
        <f>+B184+1</f>
        <v>113</v>
      </c>
      <c r="C185" s="30"/>
      <c r="D185" s="14" t="str">
        <f>"    (sum lns "&amp;B144&amp;", "&amp;B152&amp;", "&amp;B161&amp;", "&amp;B178&amp;", "&amp;B180&amp;", "&amp;B182&amp;")"</f>
        <v xml:space="preserve">    (sum lns 80, 87, 95, 109, 110, 111)</v>
      </c>
      <c r="E185" s="478"/>
      <c r="F185" s="478"/>
      <c r="G185" s="49"/>
      <c r="H185" s="45"/>
      <c r="I185" s="45"/>
      <c r="J185" s="130"/>
      <c r="K185" s="45"/>
      <c r="L185" s="49"/>
      <c r="M185" s="38"/>
      <c r="N185" s="38"/>
    </row>
    <row r="186" spans="2:15">
      <c r="B186" s="35"/>
      <c r="C186" s="30"/>
      <c r="D186" s="14"/>
      <c r="E186" s="478"/>
      <c r="F186" s="478"/>
      <c r="G186" s="49"/>
      <c r="H186" s="45"/>
      <c r="I186" s="45"/>
      <c r="J186" s="130"/>
      <c r="K186" s="45"/>
      <c r="L186" s="49"/>
      <c r="M186" s="38"/>
      <c r="N186" s="38"/>
    </row>
    <row r="187" spans="2:15">
      <c r="B187" s="35">
        <f>+B185+1</f>
        <v>114</v>
      </c>
      <c r="C187" s="30"/>
      <c r="D187" s="14" t="s">
        <v>465</v>
      </c>
      <c r="F187" s="478"/>
      <c r="G187" s="74">
        <f>+'PSO WS K State Taxes'!I47</f>
        <v>0</v>
      </c>
      <c r="H187" s="45"/>
      <c r="I187" s="79" t="s">
        <v>306</v>
      </c>
      <c r="J187" s="130"/>
      <c r="K187" s="45"/>
      <c r="L187" s="74">
        <f>+'PSO WS K State Taxes'!K47</f>
        <v>0</v>
      </c>
      <c r="M187" s="38"/>
      <c r="N187" s="38"/>
    </row>
    <row r="188" spans="2:15" ht="15.75">
      <c r="B188" s="35"/>
      <c r="C188" s="38"/>
      <c r="D188" s="38"/>
      <c r="E188" s="38"/>
      <c r="F188" s="38"/>
      <c r="G188" s="38"/>
      <c r="H188" s="38"/>
      <c r="I188" s="4"/>
      <c r="J188" s="123"/>
      <c r="K188" s="4"/>
      <c r="L188" s="5"/>
      <c r="M188" s="38"/>
      <c r="N188" s="38"/>
    </row>
    <row r="189" spans="2:15" ht="15.75" thickBot="1">
      <c r="B189" s="35">
        <f>+B187+1</f>
        <v>115</v>
      </c>
      <c r="C189" s="30"/>
      <c r="D189" s="5" t="s">
        <v>1164</v>
      </c>
      <c r="E189" s="8" t="str">
        <f>"(ln "&amp;B184&amp;" + "&amp;B187&amp;")"</f>
        <v>(ln 112 + 114)</v>
      </c>
      <c r="F189" s="5"/>
      <c r="G189" s="485">
        <f>+G184+G187</f>
        <v>374008397.08648777</v>
      </c>
      <c r="H189" s="5"/>
      <c r="I189" s="5"/>
      <c r="J189" s="130"/>
      <c r="K189" s="5"/>
      <c r="L189" s="485">
        <f>+L184+L187</f>
        <v>97521772.229186505</v>
      </c>
      <c r="M189" s="38"/>
      <c r="N189" s="38"/>
    </row>
    <row r="190" spans="2:15" ht="15.75" thickTop="1">
      <c r="B190" s="35"/>
      <c r="C190" s="30"/>
      <c r="D190" s="14"/>
      <c r="E190" s="5"/>
      <c r="F190" s="48"/>
      <c r="G190" s="5"/>
      <c r="H190" s="5"/>
      <c r="I190" s="5"/>
      <c r="J190" s="5"/>
      <c r="K190" s="5"/>
      <c r="L190" s="5"/>
      <c r="M190" s="38"/>
      <c r="N190" s="38"/>
    </row>
    <row r="191" spans="2:15">
      <c r="B191" s="35"/>
      <c r="C191" s="30"/>
      <c r="D191" s="5"/>
      <c r="E191" s="5"/>
      <c r="F191" s="48"/>
      <c r="G191" s="5"/>
      <c r="H191" s="5"/>
      <c r="I191" s="5"/>
      <c r="J191" s="5"/>
      <c r="K191" s="5"/>
      <c r="L191" s="5"/>
      <c r="M191" s="38"/>
      <c r="N191" s="38"/>
    </row>
    <row r="192" spans="2:15">
      <c r="B192" s="35"/>
      <c r="C192" s="30"/>
      <c r="D192" s="14"/>
      <c r="E192" s="5"/>
      <c r="F192" s="32" t="str">
        <f>F113</f>
        <v xml:space="preserve">AEP West SPP Member Operating Companies </v>
      </c>
      <c r="G192" s="5"/>
      <c r="H192" s="5"/>
      <c r="I192" s="5"/>
      <c r="J192" s="5"/>
      <c r="K192" s="5"/>
      <c r="L192" s="5"/>
      <c r="M192" s="38"/>
      <c r="N192" s="38"/>
    </row>
    <row r="193" spans="2:16">
      <c r="B193" s="35"/>
      <c r="C193" s="30"/>
      <c r="D193" s="14"/>
      <c r="E193" s="5"/>
      <c r="F193" s="32" t="str">
        <f>F114</f>
        <v>Transmission Cost of Service Formula Rate</v>
      </c>
      <c r="G193" s="5"/>
      <c r="H193" s="5"/>
      <c r="I193" s="5"/>
      <c r="J193" s="5"/>
      <c r="K193" s="5"/>
      <c r="L193" s="5"/>
      <c r="M193" s="38"/>
      <c r="N193" s="38"/>
    </row>
    <row r="194" spans="2:16">
      <c r="B194" s="5"/>
      <c r="C194" s="30"/>
      <c r="D194" s="5"/>
      <c r="E194" s="5"/>
      <c r="F194" s="32" t="str">
        <f>F115</f>
        <v>Utilizing Actual / Projected Cost Data for the 2019 Rate Year</v>
      </c>
      <c r="G194" s="5"/>
      <c r="H194" s="5"/>
      <c r="I194" s="5"/>
      <c r="J194" s="5"/>
      <c r="K194" s="5"/>
      <c r="M194" s="38"/>
      <c r="N194" s="38"/>
    </row>
    <row r="195" spans="2:16">
      <c r="B195" s="35"/>
      <c r="C195" s="30"/>
      <c r="E195" s="32"/>
      <c r="F195" s="32"/>
      <c r="G195" s="32"/>
      <c r="H195" s="32"/>
      <c r="I195" s="32"/>
      <c r="J195" s="32"/>
      <c r="K195" s="32"/>
      <c r="M195" s="38"/>
      <c r="N195" s="38"/>
    </row>
    <row r="196" spans="2:16">
      <c r="B196" s="35"/>
      <c r="C196" s="30"/>
      <c r="D196" s="5"/>
      <c r="E196" s="14"/>
      <c r="F196" s="32" t="str">
        <f>F117</f>
        <v>PUBLIC SERVICE COMPANY OF OKLAHOMA</v>
      </c>
      <c r="G196" s="14"/>
      <c r="H196" s="14"/>
      <c r="I196" s="14"/>
      <c r="J196" s="14"/>
      <c r="K196" s="14"/>
      <c r="L196" s="14"/>
      <c r="M196" s="38"/>
      <c r="N196" s="38"/>
    </row>
    <row r="197" spans="2:16">
      <c r="B197" s="35"/>
      <c r="C197" s="30"/>
      <c r="D197" s="5"/>
      <c r="E197" s="14"/>
      <c r="F197" s="32"/>
      <c r="G197" s="45"/>
      <c r="H197" s="14"/>
      <c r="I197" s="14"/>
      <c r="J197" s="14"/>
      <c r="K197" s="14"/>
      <c r="L197" s="45"/>
      <c r="M197" s="38"/>
      <c r="N197" s="38"/>
    </row>
    <row r="198" spans="2:16" ht="15.75">
      <c r="B198" s="35"/>
      <c r="C198" s="30"/>
      <c r="D198" s="5"/>
      <c r="F198" s="380" t="s">
        <v>255</v>
      </c>
      <c r="G198" s="5"/>
      <c r="H198" s="7"/>
      <c r="I198" s="7"/>
      <c r="J198" s="7"/>
      <c r="K198" s="7"/>
      <c r="L198" s="7"/>
      <c r="M198" s="38"/>
      <c r="N198" s="38"/>
    </row>
    <row r="199" spans="2:16" ht="15.75">
      <c r="B199" s="35"/>
      <c r="C199" s="30"/>
      <c r="D199" s="19"/>
      <c r="E199" s="7"/>
      <c r="F199" s="7"/>
      <c r="G199" s="7"/>
      <c r="H199" s="7"/>
      <c r="I199" s="7"/>
      <c r="J199" s="7"/>
      <c r="K199" s="7"/>
      <c r="L199" s="7"/>
      <c r="M199" s="38"/>
      <c r="N199" s="38"/>
    </row>
    <row r="200" spans="2:16" ht="15.75">
      <c r="B200" s="35" t="s">
        <v>293</v>
      </c>
      <c r="C200" s="30"/>
      <c r="D200" s="19"/>
      <c r="E200" s="7"/>
      <c r="F200" s="7"/>
      <c r="G200" s="7"/>
      <c r="H200" s="7"/>
      <c r="I200" s="7"/>
      <c r="J200" s="7"/>
      <c r="K200" s="7"/>
      <c r="L200" s="7"/>
      <c r="M200" s="38"/>
      <c r="N200" s="38"/>
    </row>
    <row r="201" spans="2:16" ht="15.75" thickBot="1">
      <c r="B201" s="381" t="s">
        <v>294</v>
      </c>
      <c r="C201" s="25"/>
      <c r="D201" s="14" t="s">
        <v>104</v>
      </c>
      <c r="E201" s="7"/>
      <c r="F201" s="7"/>
      <c r="G201" s="7"/>
      <c r="H201" s="7"/>
      <c r="I201" s="7"/>
      <c r="J201" s="7"/>
      <c r="K201" s="5"/>
      <c r="L201" s="5"/>
      <c r="M201" s="38"/>
      <c r="N201" s="38"/>
      <c r="P201" s="38"/>
    </row>
    <row r="202" spans="2:16">
      <c r="B202" s="35">
        <f>+B189+1</f>
        <v>116</v>
      </c>
      <c r="C202" s="30"/>
      <c r="D202" s="7" t="s">
        <v>342</v>
      </c>
      <c r="E202" s="904" t="str">
        <f>"(ln "&amp;B55&amp;")"</f>
        <v>(ln 16)</v>
      </c>
      <c r="F202" s="20"/>
      <c r="H202" s="21"/>
      <c r="I202" s="21"/>
      <c r="J202" s="21"/>
      <c r="K202" s="21"/>
      <c r="L202" s="49">
        <f>+G55</f>
        <v>926734833.48181653</v>
      </c>
      <c r="M202" s="38"/>
      <c r="N202" s="38"/>
      <c r="P202" s="38"/>
    </row>
    <row r="203" spans="2:16">
      <c r="B203" s="35">
        <f>+B202+1</f>
        <v>117</v>
      </c>
      <c r="C203" s="30"/>
      <c r="D203" s="293" t="str">
        <f>"  Less transmission plant excluded from SPP Tariff  (Worksheet A, ln "&amp;'PSO WS A RB Support '!A85&amp;" Col. (E))  (Note Q)"</f>
        <v xml:space="preserve">  Less transmission plant excluded from SPP Tariff  (Worksheet A, ln 42 Col. (E))  (Note Q)</v>
      </c>
      <c r="E203" s="22"/>
      <c r="F203" s="22"/>
      <c r="G203" s="23"/>
      <c r="H203" s="22"/>
      <c r="I203" s="22"/>
      <c r="J203" s="22"/>
      <c r="K203" s="22"/>
      <c r="L203" s="74">
        <f>+'PSO WS A RB Support '!G85</f>
        <v>40868204</v>
      </c>
      <c r="M203" s="38"/>
      <c r="N203" s="38"/>
      <c r="P203" s="38"/>
    </row>
    <row r="204" spans="2:16" ht="15.75" thickBot="1">
      <c r="B204" s="35">
        <f>+B203+1</f>
        <v>118</v>
      </c>
      <c r="C204" s="30"/>
      <c r="D204" s="20" t="str">
        <f>"  Less transmission plant included in OATT Ancillary Services (Worksheet A, ln "&amp;'PSO WS A RB Support '!A79&amp;", Col. (E))  (Note R)"</f>
        <v xml:space="preserve">  Less transmission plant included in OATT Ancillary Services (Worksheet A, ln 39, Col. (E))  (Note R)</v>
      </c>
      <c r="E204" s="20"/>
      <c r="F204" s="20"/>
      <c r="G204" s="9"/>
      <c r="H204" s="21"/>
      <c r="I204" s="21"/>
      <c r="J204" s="9"/>
      <c r="K204" s="21"/>
      <c r="L204" s="75">
        <f>+'PSO WS A RB Support '!G79</f>
        <v>23812668</v>
      </c>
      <c r="M204" s="38"/>
      <c r="N204" s="38"/>
      <c r="P204" s="38"/>
    </row>
    <row r="205" spans="2:16">
      <c r="B205" s="35">
        <f>+B204+1</f>
        <v>119</v>
      </c>
      <c r="C205" s="30"/>
      <c r="D205" s="7" t="s">
        <v>105</v>
      </c>
      <c r="E205" s="905" t="str">
        <f>"(ln "&amp;B202&amp;" - ln "&amp;B203&amp;" - ln "&amp;B204&amp;")"</f>
        <v>(ln 116 - ln 117 - ln 118)</v>
      </c>
      <c r="F205" s="20"/>
      <c r="H205" s="21"/>
      <c r="I205" s="21"/>
      <c r="J205" s="9"/>
      <c r="K205" s="21"/>
      <c r="L205" s="49">
        <f>L202-L203-L204</f>
        <v>862053961.48181653</v>
      </c>
      <c r="M205" s="38"/>
      <c r="N205" s="38"/>
      <c r="P205" s="38"/>
    </row>
    <row r="206" spans="2:16">
      <c r="B206" s="35"/>
      <c r="C206" s="30"/>
      <c r="D206" s="5"/>
      <c r="E206" s="20"/>
      <c r="F206" s="20"/>
      <c r="G206" s="9"/>
      <c r="H206" s="21"/>
      <c r="I206" s="21"/>
      <c r="J206" s="9"/>
      <c r="K206" s="21"/>
      <c r="L206" s="22"/>
      <c r="M206" s="38"/>
      <c r="N206" s="38"/>
      <c r="P206" s="38"/>
    </row>
    <row r="207" spans="2:16" ht="15.75">
      <c r="B207" s="35">
        <f>+B205+1</f>
        <v>120</v>
      </c>
      <c r="C207" s="30"/>
      <c r="D207" s="7" t="s">
        <v>106</v>
      </c>
      <c r="E207" s="48" t="str">
        <f>"(ln "&amp;B205&amp;" / ln "&amp;B202&amp;")"</f>
        <v>(ln 119 / ln 116)</v>
      </c>
      <c r="F207" s="24"/>
      <c r="H207" s="26"/>
      <c r="I207" s="27"/>
      <c r="J207" s="27"/>
      <c r="K207" s="28" t="s">
        <v>319</v>
      </c>
      <c r="L207" s="29">
        <f>IF(L202&gt;0,L205/L202,0)</f>
        <v>0.93020563200695838</v>
      </c>
      <c r="M207" s="38"/>
      <c r="N207" s="38"/>
      <c r="P207" s="38"/>
    </row>
    <row r="208" spans="2:16" ht="15.75">
      <c r="B208" s="35"/>
      <c r="C208" s="30"/>
      <c r="D208" s="19"/>
      <c r="E208" s="7"/>
      <c r="F208" s="7"/>
      <c r="G208" s="53"/>
      <c r="H208" s="7"/>
      <c r="I208" s="30"/>
      <c r="J208" s="7"/>
      <c r="K208" s="7"/>
      <c r="L208" s="7"/>
      <c r="M208" s="38"/>
      <c r="N208" s="38"/>
    </row>
    <row r="209" spans="2:14" ht="30">
      <c r="B209" s="35">
        <f>B207+1</f>
        <v>121</v>
      </c>
      <c r="C209" s="30"/>
      <c r="D209" s="14" t="s">
        <v>256</v>
      </c>
      <c r="E209" s="11" t="s">
        <v>70</v>
      </c>
      <c r="F209" s="11" t="s">
        <v>358</v>
      </c>
      <c r="G209" s="78" t="s">
        <v>400</v>
      </c>
      <c r="H209" s="73" t="s">
        <v>295</v>
      </c>
      <c r="I209" s="11"/>
      <c r="J209" s="8"/>
      <c r="K209" s="8"/>
      <c r="L209" s="8"/>
      <c r="M209" s="38"/>
      <c r="N209" s="38"/>
    </row>
    <row r="210" spans="2:14">
      <c r="B210" s="35">
        <f t="shared" ref="B210:B215" si="10">+B209+1</f>
        <v>122</v>
      </c>
      <c r="C210" s="30"/>
      <c r="D210" s="14" t="s">
        <v>303</v>
      </c>
      <c r="E210" s="8" t="s">
        <v>73</v>
      </c>
      <c r="F210" s="727">
        <f>+'[4]Inputs 2019'!E63</f>
        <v>25802085</v>
      </c>
      <c r="G210" s="727">
        <f>+'[4]Inputs 2019'!F63</f>
        <v>10819590</v>
      </c>
      <c r="H210" s="74">
        <f>+F210+G210</f>
        <v>36621675</v>
      </c>
      <c r="I210" s="11" t="s">
        <v>304</v>
      </c>
      <c r="J210" s="12">
        <v>0</v>
      </c>
      <c r="K210" s="486"/>
      <c r="L210" s="45">
        <f>(F210+G210)*J210</f>
        <v>0</v>
      </c>
      <c r="M210" s="38"/>
      <c r="N210" s="38"/>
    </row>
    <row r="211" spans="2:14">
      <c r="B211" s="35">
        <f t="shared" si="10"/>
        <v>123</v>
      </c>
      <c r="C211" s="30"/>
      <c r="D211" s="16" t="s">
        <v>305</v>
      </c>
      <c r="E211" s="8" t="s">
        <v>173</v>
      </c>
      <c r="F211" s="727">
        <f>+'[4]Inputs 2019'!E64</f>
        <v>3963048</v>
      </c>
      <c r="G211" s="727">
        <f>+'[4]Inputs 2019'!F64</f>
        <v>2877440</v>
      </c>
      <c r="H211" s="74">
        <f>+F211+G211</f>
        <v>6840488</v>
      </c>
      <c r="I211" s="30" t="s">
        <v>297</v>
      </c>
      <c r="J211" s="12">
        <f>+L207</f>
        <v>0.93020563200695838</v>
      </c>
      <c r="K211" s="486"/>
      <c r="L211" s="45">
        <f>(F211+G211)*J211</f>
        <v>6363060.4632760147</v>
      </c>
      <c r="M211" s="38"/>
      <c r="N211" s="38"/>
    </row>
    <row r="212" spans="2:14">
      <c r="B212" s="35">
        <f t="shared" si="10"/>
        <v>124</v>
      </c>
      <c r="C212" s="30"/>
      <c r="D212" s="16" t="s">
        <v>171</v>
      </c>
      <c r="E212" s="8" t="s">
        <v>172</v>
      </c>
      <c r="F212" s="727">
        <f>+'[4]Inputs 2019'!E65</f>
        <v>0</v>
      </c>
      <c r="G212" s="727">
        <f>+'[4]Inputs 2019'!F65</f>
        <v>0</v>
      </c>
      <c r="H212" s="74">
        <f>+F212+G212</f>
        <v>0</v>
      </c>
      <c r="I212" s="11" t="s">
        <v>304</v>
      </c>
      <c r="J212" s="12">
        <v>0</v>
      </c>
      <c r="K212" s="486"/>
      <c r="L212" s="45">
        <f>(F212+G212)*J212</f>
        <v>0</v>
      </c>
      <c r="M212" s="38"/>
      <c r="N212" s="38"/>
    </row>
    <row r="213" spans="2:14">
      <c r="B213" s="35">
        <f t="shared" si="10"/>
        <v>125</v>
      </c>
      <c r="C213" s="30"/>
      <c r="D213" s="16" t="s">
        <v>307</v>
      </c>
      <c r="E213" s="8" t="s">
        <v>71</v>
      </c>
      <c r="F213" s="727">
        <f>+'[4]Inputs 2019'!E66</f>
        <v>21080498</v>
      </c>
      <c r="G213" s="727">
        <f>+'[4]Inputs 2019'!F66</f>
        <v>1917077</v>
      </c>
      <c r="H213" s="74">
        <f>+F213+G213</f>
        <v>22997575</v>
      </c>
      <c r="I213" s="11" t="s">
        <v>304</v>
      </c>
      <c r="J213" s="12">
        <v>0</v>
      </c>
      <c r="K213" s="486"/>
      <c r="L213" s="45">
        <f>(F213+G213)*J213</f>
        <v>0</v>
      </c>
      <c r="M213" s="38"/>
      <c r="N213" s="38"/>
    </row>
    <row r="214" spans="2:14" ht="15.75" thickBot="1">
      <c r="B214" s="35">
        <f t="shared" si="10"/>
        <v>126</v>
      </c>
      <c r="C214" s="30"/>
      <c r="D214" s="16" t="s">
        <v>374</v>
      </c>
      <c r="E214" s="6" t="s">
        <v>72</v>
      </c>
      <c r="F214" s="727">
        <f>+'[4]Inputs 2019'!E67</f>
        <v>5138391</v>
      </c>
      <c r="G214" s="727">
        <f>+'[4]Inputs 2019'!F67</f>
        <v>5992159</v>
      </c>
      <c r="H214" s="75">
        <f>+F214+G214</f>
        <v>11130550</v>
      </c>
      <c r="I214" s="11" t="s">
        <v>304</v>
      </c>
      <c r="J214" s="12">
        <v>0</v>
      </c>
      <c r="K214" s="486"/>
      <c r="L214" s="46">
        <f>(F214+G214)*J214</f>
        <v>0</v>
      </c>
      <c r="M214" s="38"/>
      <c r="N214" s="38"/>
    </row>
    <row r="215" spans="2:14">
      <c r="B215" s="35">
        <f t="shared" si="10"/>
        <v>127</v>
      </c>
      <c r="C215" s="30"/>
      <c r="D215" s="16" t="s">
        <v>295</v>
      </c>
      <c r="E215" s="16" t="str">
        <f>"(sum lns "&amp;B210&amp;" to "&amp;B214&amp;")"</f>
        <v>(sum lns 122 to 126)</v>
      </c>
      <c r="F215" s="712">
        <f>SUM(F210:F214)</f>
        <v>55984022</v>
      </c>
      <c r="G215" s="712">
        <f>SUM(G210:G214)</f>
        <v>21606266</v>
      </c>
      <c r="H215" s="8">
        <f>SUM(H210:H214)</f>
        <v>77590288</v>
      </c>
      <c r="I215" s="11"/>
      <c r="J215" s="8"/>
      <c r="K215" s="8"/>
      <c r="L215" s="45">
        <f>SUM(L210:L214)</f>
        <v>6363060.4632760147</v>
      </c>
      <c r="M215" s="38"/>
      <c r="N215" s="38"/>
    </row>
    <row r="216" spans="2:14">
      <c r="B216" s="35"/>
      <c r="C216" s="30"/>
      <c r="D216" s="16" t="s">
        <v>291</v>
      </c>
      <c r="E216" s="8" t="s">
        <v>291</v>
      </c>
      <c r="F216" s="8"/>
      <c r="G216" s="5"/>
      <c r="H216" s="8"/>
      <c r="I216" s="73"/>
      <c r="M216" s="38"/>
      <c r="N216" s="38"/>
    </row>
    <row r="217" spans="2:14" ht="15.75">
      <c r="B217" s="35">
        <f>B215+1</f>
        <v>128</v>
      </c>
      <c r="C217" s="30"/>
      <c r="D217" s="16" t="s">
        <v>257</v>
      </c>
      <c r="E217" s="8"/>
      <c r="F217" s="8"/>
      <c r="G217" s="8"/>
      <c r="H217" s="8"/>
      <c r="I217" s="73"/>
      <c r="K217" s="487" t="s">
        <v>258</v>
      </c>
      <c r="L217" s="488">
        <f>IF(H215&lt;&gt;0,L215/(F215+G215),0)</f>
        <v>8.2008465586260154E-2</v>
      </c>
      <c r="M217" s="38"/>
      <c r="N217" s="38"/>
    </row>
    <row r="218" spans="2:14">
      <c r="B218" s="35"/>
      <c r="C218" s="30"/>
      <c r="D218" s="16"/>
      <c r="E218" s="8"/>
      <c r="F218" s="8"/>
      <c r="G218" s="8"/>
      <c r="H218" s="8"/>
      <c r="I218" s="11"/>
      <c r="J218" s="8"/>
      <c r="K218" s="8"/>
      <c r="L218" s="8"/>
      <c r="M218" s="38"/>
      <c r="N218" s="38"/>
    </row>
    <row r="219" spans="2:14" ht="15.75">
      <c r="B219" s="35"/>
      <c r="C219" s="30"/>
      <c r="D219" s="16"/>
      <c r="E219" s="48"/>
      <c r="F219" s="8"/>
      <c r="G219" s="5"/>
      <c r="H219" s="8"/>
      <c r="I219" s="8"/>
      <c r="J219" s="8"/>
      <c r="K219" s="121"/>
      <c r="L219" s="31"/>
      <c r="M219" s="38"/>
      <c r="N219" s="38"/>
    </row>
    <row r="220" spans="2:14" ht="15.75" thickBot="1">
      <c r="B220" s="35">
        <f>+B217+1</f>
        <v>129</v>
      </c>
      <c r="C220" s="30"/>
      <c r="D220" s="16" t="s">
        <v>372</v>
      </c>
      <c r="E220" s="8"/>
      <c r="F220" s="8"/>
      <c r="G220" s="8"/>
      <c r="H220" s="8"/>
      <c r="I220" s="8"/>
      <c r="J220" s="8"/>
      <c r="K220" s="8"/>
      <c r="L220" s="80" t="s">
        <v>320</v>
      </c>
      <c r="M220" s="38"/>
      <c r="N220" s="38"/>
    </row>
    <row r="221" spans="2:14">
      <c r="B221" s="35">
        <f t="shared" ref="B221:B228" si="11">+B220+1</f>
        <v>130</v>
      </c>
      <c r="C221" s="30"/>
      <c r="D221" s="8" t="s">
        <v>405</v>
      </c>
      <c r="E221" s="15" t="str">
        <f>"Long Term Interest (Worksheet M, ln. "&amp;'PSO WS M Avg Cap Structure'!A36&amp;", col. "&amp;'PSO WS M Avg Cap Structure'!E7&amp;")"</f>
        <v>Long Term Interest (Worksheet M, ln. 21, col. (E))</v>
      </c>
      <c r="F221" s="8"/>
      <c r="G221" s="8"/>
      <c r="H221" s="8"/>
      <c r="I221" s="8"/>
      <c r="J221" s="8"/>
      <c r="K221" s="8"/>
      <c r="L221" s="45">
        <f>+'PSO WS M Avg Cap Structure'!E36</f>
        <v>69438631.166296393</v>
      </c>
      <c r="M221" s="38"/>
      <c r="N221" s="38"/>
    </row>
    <row r="222" spans="2:14">
      <c r="B222" s="35">
        <f t="shared" si="11"/>
        <v>131</v>
      </c>
      <c r="C222" s="30"/>
      <c r="D222" s="8" t="s">
        <v>406</v>
      </c>
      <c r="E222" s="15" t="str">
        <f>"Preferred Stock Dividends (Worksheet M, ln. "&amp;'PSO WS M Avg Cap Structure'!A68&amp;", col. "&amp;'PSO WS M Avg Cap Structure'!E7&amp;")"</f>
        <v>Preferred Stock Dividends (Worksheet M, ln. 44, col. (E))</v>
      </c>
      <c r="F222" s="8"/>
      <c r="G222" s="8"/>
      <c r="H222" s="8"/>
      <c r="I222" s="8"/>
      <c r="J222" s="8"/>
      <c r="K222" s="8"/>
      <c r="L222" s="45">
        <f>+'PSO WS M Avg Cap Structure'!E68</f>
        <v>0</v>
      </c>
      <c r="M222" s="38"/>
      <c r="N222" s="38"/>
    </row>
    <row r="223" spans="2:14" ht="15.75" thickBot="1">
      <c r="B223" s="35">
        <f t="shared" si="11"/>
        <v>132</v>
      </c>
      <c r="C223" s="30"/>
      <c r="D223" s="120" t="s">
        <v>412</v>
      </c>
      <c r="E223" s="8"/>
      <c r="F223" s="8"/>
      <c r="G223" s="8"/>
      <c r="H223" s="38"/>
      <c r="I223" s="38"/>
      <c r="J223" s="38"/>
      <c r="K223" s="8"/>
      <c r="L223" s="177" t="s">
        <v>212</v>
      </c>
      <c r="M223" s="38"/>
      <c r="N223" s="38"/>
    </row>
    <row r="224" spans="2:14">
      <c r="B224" s="35">
        <f t="shared" si="11"/>
        <v>133</v>
      </c>
      <c r="C224" s="30"/>
      <c r="D224" s="8" t="s">
        <v>413</v>
      </c>
      <c r="E224" s="15" t="str">
        <f>"(Worksheet M, ln. "&amp;'PSO WS M Avg Cap Structure'!A12&amp;", col. "&amp;'PSO WS M Avg Cap Structure'!E7&amp;")"</f>
        <v>(Worksheet M, ln. 1, col. (E))</v>
      </c>
      <c r="F224" s="8"/>
      <c r="G224" s="7"/>
      <c r="H224" s="38"/>
      <c r="I224" s="38"/>
      <c r="J224" s="38"/>
      <c r="K224" s="8"/>
      <c r="L224" s="74">
        <f>+'PSO WS M Avg Cap Structure'!E12</f>
        <v>1291048807.5232849</v>
      </c>
      <c r="M224" s="38"/>
      <c r="N224" s="38"/>
    </row>
    <row r="225" spans="2:21">
      <c r="B225" s="35">
        <f t="shared" si="11"/>
        <v>134</v>
      </c>
      <c r="C225" s="30"/>
      <c r="D225" s="8" t="str">
        <f>"Less Preferred Stock (ln "&amp;B232&amp;")"</f>
        <v>Less Preferred Stock (ln 140)</v>
      </c>
      <c r="E225" s="15" t="str">
        <f>"(Worksheet M, ln. "&amp;'PSO WS M Avg Cap Structure'!A13&amp;", col. "&amp;'PSO WS M Avg Cap Structure'!E7&amp;")"</f>
        <v>(Worksheet M, ln. 2, col. (E))</v>
      </c>
      <c r="F225" s="8"/>
      <c r="G225" s="8"/>
      <c r="H225" s="38"/>
      <c r="I225" s="38"/>
      <c r="J225" s="38"/>
      <c r="K225" s="8"/>
      <c r="L225" s="74">
        <f>+'PSO WS M Avg Cap Structure'!E13</f>
        <v>0</v>
      </c>
      <c r="M225" s="38"/>
      <c r="N225" s="38"/>
    </row>
    <row r="226" spans="2:21">
      <c r="B226" s="35">
        <f t="shared" si="11"/>
        <v>135</v>
      </c>
      <c r="C226" s="30"/>
      <c r="D226" s="8" t="s">
        <v>66</v>
      </c>
      <c r="E226" s="15" t="str">
        <f>"(Worksheet M, ln. "&amp;'PSO WS M Avg Cap Structure'!A14&amp;", col. "&amp;'PSO WS M Avg Cap Structure'!E7&amp;")"</f>
        <v>(Worksheet M, ln. 3, col. (E))</v>
      </c>
      <c r="F226" s="8"/>
      <c r="G226" s="8"/>
      <c r="H226" s="38"/>
      <c r="I226" s="38"/>
      <c r="J226" s="38"/>
      <c r="K226" s="8"/>
      <c r="L226" s="74">
        <f>+'PSO WS M Avg Cap Structure'!E14</f>
        <v>0</v>
      </c>
      <c r="M226" s="38"/>
      <c r="N226" s="38"/>
    </row>
    <row r="227" spans="2:21" ht="15.75" thickBot="1">
      <c r="B227" s="35">
        <f t="shared" si="11"/>
        <v>136</v>
      </c>
      <c r="C227" s="30"/>
      <c r="D227" s="8" t="s">
        <v>414</v>
      </c>
      <c r="E227" s="15" t="str">
        <f>"(Worksheet M, ln. "&amp;'PSO WS M Avg Cap Structure'!A15&amp;", col. "&amp;'PSO WS M Avg Cap Structure'!E7&amp;")"</f>
        <v>(Worksheet M, ln. 4, col. (E))</v>
      </c>
      <c r="F227" s="8"/>
      <c r="G227" s="8"/>
      <c r="H227" s="38"/>
      <c r="I227" s="38"/>
      <c r="J227" s="38"/>
      <c r="K227" s="8"/>
      <c r="L227" s="75">
        <f>+'PSO WS M Avg Cap Structure'!E15</f>
        <v>1749152.4681249899</v>
      </c>
      <c r="M227" s="38"/>
      <c r="N227" s="38"/>
    </row>
    <row r="228" spans="2:21">
      <c r="B228" s="35">
        <f t="shared" si="11"/>
        <v>137</v>
      </c>
      <c r="C228" s="30"/>
      <c r="D228" s="15" t="s">
        <v>415</v>
      </c>
      <c r="E228" s="8" t="str">
        <f>"(ln "&amp;B224&amp;" - ln "&amp;B225&amp;" - ln "&amp;B226&amp;" - ln "&amp;B227&amp;")"</f>
        <v>(ln 133 - ln 134 - ln 135 - ln 136)</v>
      </c>
      <c r="F228" s="101"/>
      <c r="H228" s="7"/>
      <c r="I228" s="7"/>
      <c r="J228" s="7"/>
      <c r="K228" s="7"/>
      <c r="L228" s="117">
        <f>+L224-L225-L226-L227</f>
        <v>1289299655.0551598</v>
      </c>
      <c r="M228" s="38"/>
      <c r="N228" s="38"/>
    </row>
    <row r="229" spans="2:21" ht="52.5" customHeight="1">
      <c r="B229" s="35"/>
      <c r="C229" s="30"/>
      <c r="D229" s="16"/>
      <c r="E229" s="8"/>
      <c r="F229" s="8"/>
      <c r="G229" s="499" t="s">
        <v>473</v>
      </c>
      <c r="H229" s="520"/>
      <c r="I229" s="8"/>
      <c r="J229" s="11" t="s">
        <v>321</v>
      </c>
      <c r="K229" s="8"/>
      <c r="L229" s="8"/>
      <c r="M229" s="38"/>
      <c r="N229" s="38"/>
    </row>
    <row r="230" spans="2:21" ht="15.75" thickBot="1">
      <c r="B230" s="35">
        <f>+B228+1</f>
        <v>138</v>
      </c>
      <c r="C230" s="30"/>
      <c r="D230" s="16"/>
      <c r="E230" s="102" t="s">
        <v>472</v>
      </c>
      <c r="G230" s="906"/>
      <c r="H230" s="520"/>
      <c r="I230" s="8"/>
      <c r="J230" s="102" t="s">
        <v>464</v>
      </c>
      <c r="K230" s="8"/>
      <c r="L230" s="102" t="s">
        <v>323</v>
      </c>
      <c r="M230" s="38"/>
      <c r="N230" s="38"/>
      <c r="O230" s="476"/>
      <c r="P230" s="476"/>
      <c r="Q230" s="476"/>
      <c r="R230" s="476"/>
      <c r="S230" s="476"/>
      <c r="T230" s="476"/>
      <c r="U230" s="476"/>
    </row>
    <row r="231" spans="2:21">
      <c r="B231" s="35">
        <f>+B230+1</f>
        <v>139</v>
      </c>
      <c r="C231" s="30"/>
      <c r="D231" s="8" t="str">
        <f>"Avg Long Term Debt (Worksheet M, ln. "&amp;'PSO WS M Avg Cap Structure'!A25&amp;", col. "&amp;'PSO WS M Avg Cap Structure'!E7&amp;")"</f>
        <v>Avg Long Term Debt (Worksheet M, ln. 11, col. (E))</v>
      </c>
      <c r="E231" s="45">
        <f>+'PSO WS M Avg Cap Structure'!E25</f>
        <v>1341960654.348175</v>
      </c>
      <c r="G231" s="103">
        <f>IF($E$234&gt;0,E231/$E$234,0)</f>
        <v>0.51000680151348399</v>
      </c>
      <c r="H231" s="520"/>
      <c r="I231" s="104"/>
      <c r="J231" s="131">
        <f>+'PSO WS M Avg Cap Structure'!E38</f>
        <v>5.1744163244506244E-2</v>
      </c>
      <c r="K231" s="5"/>
      <c r="L231" s="907">
        <f>J231*G231</f>
        <v>2.6389875193322209E-2</v>
      </c>
      <c r="M231" s="38"/>
      <c r="N231" s="38"/>
      <c r="O231" s="476"/>
      <c r="P231" s="476"/>
      <c r="Q231" s="476"/>
      <c r="R231" s="476"/>
      <c r="S231" s="476"/>
      <c r="T231" s="476"/>
      <c r="U231" s="476"/>
    </row>
    <row r="232" spans="2:21">
      <c r="B232" s="35">
        <f>+B231+1</f>
        <v>140</v>
      </c>
      <c r="C232" s="30"/>
      <c r="D232" s="8" t="str">
        <f>"Avg Preferred Stock (Worksheet M, ln. "&amp;'PSO WS M Avg Cap Structure'!A67&amp;", col. "&amp;'PSO WS M Avg Cap Structure'!E7&amp;")"</f>
        <v>Avg Preferred Stock (Worksheet M, ln. 43, col. (E))</v>
      </c>
      <c r="E232" s="45">
        <f>+'PSO WS M Avg Cap Structure'!E67</f>
        <v>0</v>
      </c>
      <c r="G232" s="103">
        <f>IF($E$234&gt;0,E232/$E$234,0)</f>
        <v>0</v>
      </c>
      <c r="H232" s="520"/>
      <c r="I232" s="104"/>
      <c r="J232" s="131">
        <f>IF(E232&gt;0,L222/E232,0)</f>
        <v>0</v>
      </c>
      <c r="K232" s="5"/>
      <c r="L232" s="907">
        <f>J232*G232</f>
        <v>0</v>
      </c>
      <c r="M232" s="38"/>
      <c r="N232" s="38"/>
      <c r="O232" s="476"/>
    </row>
    <row r="233" spans="2:21" ht="15.75" thickBot="1">
      <c r="B233" s="35">
        <f>+B232+1</f>
        <v>141</v>
      </c>
      <c r="C233" s="30"/>
      <c r="D233" s="16" t="str">
        <f>"Avg Common Stock (ln "&amp;B228&amp;") (Note U)"</f>
        <v>Avg Common Stock (ln 137) (Note U)</v>
      </c>
      <c r="E233" s="46">
        <f>+L228</f>
        <v>1289299655.0551598</v>
      </c>
      <c r="G233" s="103">
        <f>IF($E$234&gt;0,E233/$E$234,0)</f>
        <v>0.48999319848651607</v>
      </c>
      <c r="H233" s="520"/>
      <c r="I233" s="104"/>
      <c r="J233" s="730">
        <v>0.112</v>
      </c>
      <c r="K233" s="5"/>
      <c r="L233" s="908">
        <f>J233*G233</f>
        <v>5.4879238230489798E-2</v>
      </c>
      <c r="M233" s="38"/>
      <c r="N233" s="38"/>
      <c r="O233" s="476"/>
    </row>
    <row r="234" spans="2:21" ht="15.75">
      <c r="B234" s="35">
        <f>+B233+1</f>
        <v>142</v>
      </c>
      <c r="C234" s="30"/>
      <c r="D234" s="16" t="str">
        <f>"  Total  (sum lns "&amp;B231&amp;" to "&amp;B233&amp;")"</f>
        <v xml:space="preserve">  Total  (sum lns 139 to 141)</v>
      </c>
      <c r="E234" s="45">
        <f>E233+E232+E231</f>
        <v>2631260309.4033346</v>
      </c>
      <c r="G234" s="8" t="s">
        <v>291</v>
      </c>
      <c r="H234" s="520"/>
      <c r="I234" s="8"/>
      <c r="J234" s="38"/>
      <c r="K234" s="105" t="s">
        <v>245</v>
      </c>
      <c r="L234" s="106">
        <f>SUM(L231:L233)</f>
        <v>8.1269113423812003E-2</v>
      </c>
      <c r="M234" s="38"/>
      <c r="N234" s="38"/>
      <c r="P234" s="497"/>
    </row>
    <row r="235" spans="2:21">
      <c r="B235" s="273"/>
      <c r="C235" s="38"/>
      <c r="D235" s="38"/>
      <c r="E235" s="38"/>
      <c r="F235" s="38"/>
      <c r="G235" s="38"/>
      <c r="H235" s="38"/>
      <c r="I235" s="38"/>
      <c r="J235" s="52"/>
      <c r="K235" s="52"/>
      <c r="L235" s="52"/>
      <c r="M235" s="38"/>
      <c r="N235" s="38"/>
      <c r="O235" s="33"/>
      <c r="P235" s="33"/>
      <c r="Q235" s="33"/>
      <c r="R235" s="33"/>
      <c r="S235" s="33"/>
      <c r="T235" s="33"/>
      <c r="U235" s="33"/>
    </row>
    <row r="236" spans="2:21">
      <c r="B236" s="35"/>
      <c r="C236" s="38"/>
      <c r="D236" s="38"/>
      <c r="E236" s="38"/>
      <c r="F236" s="38"/>
      <c r="G236" s="38"/>
      <c r="H236" s="38"/>
      <c r="I236" s="38"/>
      <c r="J236" s="8"/>
      <c r="K236" s="7"/>
      <c r="L236" s="8"/>
      <c r="M236" s="38"/>
      <c r="N236" s="38"/>
      <c r="O236" s="33"/>
      <c r="P236" s="33"/>
      <c r="Q236" s="33"/>
      <c r="R236" s="33"/>
      <c r="S236" s="33"/>
      <c r="T236" s="33"/>
      <c r="U236" s="33"/>
    </row>
    <row r="237" spans="2:21" ht="15.75">
      <c r="B237" s="35"/>
      <c r="C237" s="30"/>
      <c r="D237" s="463"/>
      <c r="E237" s="463"/>
      <c r="F237" s="32" t="str">
        <f>F192</f>
        <v xml:space="preserve">AEP West SPP Member Operating Companies </v>
      </c>
      <c r="G237" s="464"/>
      <c r="H237" s="8"/>
      <c r="I237" s="8"/>
      <c r="J237" s="8"/>
      <c r="K237" s="7"/>
      <c r="L237" s="8"/>
      <c r="M237" s="38"/>
      <c r="N237" s="38"/>
      <c r="O237" s="33"/>
      <c r="P237" s="33"/>
      <c r="Q237" s="33"/>
      <c r="R237" s="33"/>
      <c r="S237" s="33"/>
      <c r="T237" s="33"/>
      <c r="U237" s="33"/>
    </row>
    <row r="238" spans="2:21">
      <c r="B238" s="35"/>
      <c r="C238" s="30"/>
      <c r="D238" s="489"/>
      <c r="E238" s="30"/>
      <c r="F238" s="32" t="str">
        <f>F193</f>
        <v>Transmission Cost of Service Formula Rate</v>
      </c>
      <c r="G238" s="8"/>
      <c r="H238" s="8"/>
      <c r="I238" s="8"/>
      <c r="J238" s="8"/>
      <c r="K238" s="7"/>
      <c r="L238" s="382"/>
      <c r="M238" s="38"/>
      <c r="N238" s="38"/>
      <c r="O238" s="33"/>
      <c r="P238" s="33"/>
      <c r="Q238" s="33"/>
      <c r="R238" s="33"/>
      <c r="S238" s="33"/>
      <c r="T238" s="33"/>
      <c r="U238" s="33"/>
    </row>
    <row r="239" spans="2:21" ht="15.75">
      <c r="B239" s="35"/>
      <c r="C239" s="30"/>
      <c r="D239" s="489"/>
      <c r="E239" s="380"/>
      <c r="F239" s="32" t="str">
        <f>F194</f>
        <v>Utilizing Actual / Projected Cost Data for the 2019 Rate Year</v>
      </c>
      <c r="G239" s="8"/>
      <c r="H239" s="8"/>
      <c r="I239" s="8"/>
      <c r="J239" s="8"/>
      <c r="K239" s="7"/>
      <c r="L239" s="382"/>
      <c r="M239" s="38"/>
      <c r="N239" s="38"/>
      <c r="O239" s="33"/>
      <c r="P239" s="33"/>
      <c r="Q239" s="33"/>
      <c r="R239" s="33"/>
      <c r="S239" s="33"/>
      <c r="T239" s="33"/>
      <c r="U239" s="33"/>
    </row>
    <row r="240" spans="2:21" ht="15.75">
      <c r="B240" s="35"/>
      <c r="C240" s="30"/>
      <c r="D240" s="489"/>
      <c r="E240" s="380"/>
      <c r="F240" s="32"/>
      <c r="G240" s="8"/>
      <c r="H240" s="8"/>
      <c r="I240" s="8"/>
      <c r="J240" s="8"/>
      <c r="K240" s="7"/>
      <c r="L240" s="382"/>
      <c r="M240" s="38"/>
      <c r="N240" s="38"/>
      <c r="O240" s="33"/>
      <c r="P240" s="33"/>
      <c r="Q240" s="33"/>
      <c r="R240" s="33"/>
      <c r="S240" s="33"/>
      <c r="T240" s="33"/>
      <c r="U240" s="33"/>
    </row>
    <row r="241" spans="2:21" ht="15.75">
      <c r="B241" s="35"/>
      <c r="C241" s="30"/>
      <c r="D241" s="489"/>
      <c r="E241" s="380"/>
      <c r="F241" s="32" t="str">
        <f>F196</f>
        <v>PUBLIC SERVICE COMPANY OF OKLAHOMA</v>
      </c>
      <c r="G241" s="8"/>
      <c r="H241" s="8"/>
      <c r="I241" s="8"/>
      <c r="J241" s="8"/>
      <c r="K241" s="7"/>
      <c r="L241" s="382"/>
      <c r="M241" s="38"/>
      <c r="N241" s="38"/>
      <c r="O241" s="33"/>
      <c r="P241" s="33"/>
      <c r="Q241" s="33"/>
      <c r="R241" s="33"/>
      <c r="S241" s="33"/>
      <c r="T241" s="33"/>
      <c r="U241" s="33"/>
    </row>
    <row r="242" spans="2:21" ht="15.75">
      <c r="B242" s="35"/>
      <c r="C242" s="30"/>
      <c r="D242" s="489"/>
      <c r="E242" s="380"/>
      <c r="F242" s="32"/>
      <c r="G242" s="8"/>
      <c r="H242" s="8"/>
      <c r="I242" s="8"/>
      <c r="J242" s="8"/>
      <c r="K242" s="7"/>
      <c r="L242" s="382"/>
      <c r="M242" s="38"/>
      <c r="N242" s="38"/>
      <c r="O242" s="33"/>
      <c r="P242" s="33"/>
      <c r="Q242" s="33"/>
      <c r="R242" s="33"/>
      <c r="S242" s="33"/>
      <c r="T242" s="33"/>
      <c r="U242" s="33"/>
    </row>
    <row r="243" spans="2:21" ht="15.75">
      <c r="B243" s="490" t="s">
        <v>352</v>
      </c>
      <c r="C243" s="25"/>
      <c r="D243" s="14"/>
      <c r="E243" s="7"/>
      <c r="F243" s="490" t="s">
        <v>351</v>
      </c>
      <c r="G243" s="8"/>
      <c r="H243" s="8"/>
      <c r="I243" s="8"/>
      <c r="J243" s="8"/>
      <c r="K243" s="7"/>
      <c r="L243" s="8"/>
      <c r="M243" s="38"/>
      <c r="N243" s="38"/>
      <c r="O243" s="33"/>
      <c r="P243" s="33"/>
      <c r="Q243" s="33"/>
      <c r="R243" s="33"/>
      <c r="S243" s="33"/>
      <c r="T243" s="33"/>
      <c r="U243" s="33"/>
    </row>
    <row r="244" spans="2:21">
      <c r="C244" s="25"/>
      <c r="D244" s="15" t="s">
        <v>1165</v>
      </c>
      <c r="L244" s="382"/>
      <c r="M244" s="38"/>
      <c r="N244" s="38"/>
      <c r="O244" s="33"/>
      <c r="P244" s="33"/>
      <c r="Q244" s="33"/>
      <c r="R244" s="33"/>
      <c r="S244" s="33"/>
      <c r="T244" s="33"/>
      <c r="U244" s="33"/>
    </row>
    <row r="245" spans="2:21">
      <c r="B245" s="15"/>
      <c r="D245" s="14"/>
      <c r="E245" s="7"/>
      <c r="F245" s="7"/>
      <c r="G245" s="8"/>
      <c r="H245" s="8"/>
      <c r="I245" s="8"/>
      <c r="J245" s="130"/>
      <c r="K245" s="38"/>
      <c r="L245" s="38"/>
      <c r="M245" s="38"/>
      <c r="N245" s="38"/>
      <c r="O245" s="33"/>
      <c r="P245" s="33"/>
      <c r="Q245" s="33"/>
      <c r="R245" s="33"/>
      <c r="S245" s="33"/>
      <c r="T245" s="33"/>
      <c r="U245" s="33"/>
    </row>
    <row r="246" spans="2:21">
      <c r="B246" s="36" t="s">
        <v>324</v>
      </c>
      <c r="C246" s="25"/>
      <c r="D246" s="14" t="s">
        <v>109</v>
      </c>
      <c r="E246" s="7"/>
      <c r="F246" s="7"/>
      <c r="G246" s="8"/>
      <c r="H246" s="8"/>
      <c r="I246" s="8"/>
      <c r="J246" s="130"/>
      <c r="K246" s="38"/>
      <c r="L246" s="38"/>
      <c r="M246" s="38"/>
      <c r="N246" s="38"/>
      <c r="O246" s="33"/>
      <c r="P246" s="33"/>
      <c r="Q246" s="33"/>
      <c r="R246" s="33"/>
      <c r="S246" s="33"/>
      <c r="T246" s="33"/>
      <c r="U246" s="33"/>
    </row>
    <row r="247" spans="2:21">
      <c r="B247" s="36"/>
      <c r="C247" s="32"/>
      <c r="D247" s="14" t="s">
        <v>110</v>
      </c>
      <c r="E247" s="7"/>
      <c r="F247" s="7"/>
      <c r="G247" s="7"/>
      <c r="H247" s="7"/>
      <c r="I247" s="7"/>
      <c r="J247" s="197"/>
      <c r="K247" s="38"/>
      <c r="L247" s="38"/>
      <c r="M247" s="38"/>
      <c r="N247" s="38"/>
      <c r="O247" s="33"/>
      <c r="P247" s="33"/>
      <c r="Q247" s="33"/>
      <c r="R247" s="33"/>
      <c r="S247" s="33"/>
      <c r="T247" s="33"/>
      <c r="U247" s="33"/>
    </row>
    <row r="248" spans="2:21">
      <c r="B248" s="37"/>
      <c r="C248" s="5"/>
      <c r="D248" s="14" t="s">
        <v>112</v>
      </c>
      <c r="E248" s="34"/>
      <c r="F248" s="34"/>
      <c r="G248" s="7"/>
      <c r="H248" s="7"/>
      <c r="I248" s="7"/>
      <c r="J248" s="197"/>
      <c r="K248" s="38"/>
      <c r="L248" s="38"/>
      <c r="M248" s="38"/>
      <c r="N248" s="38"/>
      <c r="O248" s="33"/>
      <c r="P248" s="33"/>
      <c r="Q248" s="33"/>
      <c r="R248" s="33"/>
      <c r="S248" s="33"/>
      <c r="T248" s="33"/>
      <c r="U248" s="33"/>
    </row>
    <row r="249" spans="2:21">
      <c r="B249" s="37"/>
      <c r="C249" s="5"/>
      <c r="D249" s="14" t="s">
        <v>113</v>
      </c>
      <c r="E249" s="7"/>
      <c r="F249" s="7"/>
      <c r="G249" s="7"/>
      <c r="H249" s="7"/>
      <c r="I249" s="7"/>
      <c r="J249" s="197"/>
      <c r="K249" s="38"/>
      <c r="L249" s="38"/>
      <c r="M249" s="38"/>
      <c r="N249" s="38"/>
      <c r="O249" s="33"/>
      <c r="P249" s="33"/>
      <c r="Q249" s="33"/>
      <c r="R249" s="33"/>
      <c r="S249" s="33"/>
      <c r="T249" s="33"/>
      <c r="U249" s="33"/>
    </row>
    <row r="250" spans="2:21">
      <c r="B250" s="35"/>
      <c r="C250" s="30"/>
      <c r="D250" s="14" t="s">
        <v>1421</v>
      </c>
      <c r="E250" s="7"/>
      <c r="F250" s="7"/>
      <c r="G250" s="7"/>
      <c r="H250" s="7"/>
      <c r="I250" s="7"/>
      <c r="J250" s="197"/>
      <c r="K250" s="38"/>
      <c r="L250" s="38"/>
      <c r="M250" s="38"/>
      <c r="N250" s="38"/>
      <c r="O250" s="33"/>
      <c r="P250" s="33"/>
      <c r="Q250" s="33"/>
      <c r="R250" s="33"/>
      <c r="S250" s="33"/>
      <c r="T250" s="33"/>
      <c r="U250" s="33"/>
    </row>
    <row r="251" spans="2:21" ht="15" customHeight="1">
      <c r="B251" s="35"/>
      <c r="C251" s="30"/>
      <c r="D251" s="14"/>
      <c r="E251" s="7"/>
      <c r="F251" s="7"/>
      <c r="G251" s="7"/>
      <c r="H251" s="7"/>
      <c r="I251" s="7"/>
      <c r="J251" s="197"/>
      <c r="K251" s="38"/>
      <c r="L251" s="38"/>
      <c r="M251" s="38"/>
      <c r="N251" s="38"/>
      <c r="O251" s="33"/>
      <c r="P251" s="33"/>
      <c r="Q251" s="33"/>
      <c r="R251" s="33"/>
      <c r="S251" s="33"/>
      <c r="T251" s="33"/>
      <c r="U251" s="33"/>
    </row>
    <row r="252" spans="2:21">
      <c r="B252" s="35" t="s">
        <v>325</v>
      </c>
      <c r="C252" s="30"/>
      <c r="D252" s="52" t="s">
        <v>114</v>
      </c>
      <c r="E252" s="7"/>
      <c r="F252" s="7"/>
      <c r="G252" s="7"/>
      <c r="H252" s="7"/>
      <c r="I252" s="7"/>
      <c r="J252" s="197"/>
      <c r="K252" s="38"/>
      <c r="L252" s="38"/>
      <c r="M252" s="38"/>
      <c r="N252" s="38"/>
      <c r="O252" s="33"/>
      <c r="P252" s="33"/>
      <c r="Q252" s="33"/>
      <c r="R252" s="33"/>
      <c r="S252" s="33"/>
      <c r="T252" s="33"/>
      <c r="U252" s="33"/>
    </row>
    <row r="253" spans="2:21">
      <c r="B253" s="35"/>
      <c r="C253" s="30"/>
      <c r="D253" s="52"/>
      <c r="E253" s="7"/>
      <c r="F253" s="7"/>
      <c r="G253" s="7"/>
      <c r="H253" s="7"/>
      <c r="I253" s="7"/>
      <c r="J253" s="197"/>
      <c r="K253" s="38"/>
      <c r="L253" s="38"/>
      <c r="M253" s="38"/>
      <c r="N253" s="38"/>
      <c r="O253" s="33"/>
      <c r="P253" s="33"/>
      <c r="Q253" s="33"/>
      <c r="R253" s="33"/>
      <c r="S253" s="33"/>
      <c r="T253" s="33"/>
      <c r="U253" s="33"/>
    </row>
    <row r="254" spans="2:21">
      <c r="B254" s="35" t="s">
        <v>326</v>
      </c>
      <c r="C254" s="30"/>
      <c r="D254" s="52" t="s">
        <v>236</v>
      </c>
      <c r="E254" s="7"/>
      <c r="F254" s="7"/>
      <c r="G254" s="7"/>
      <c r="H254" s="7"/>
      <c r="I254" s="7"/>
      <c r="J254" s="197"/>
      <c r="K254" s="38"/>
      <c r="L254" s="38"/>
      <c r="M254" s="38"/>
      <c r="N254" s="38"/>
      <c r="O254" s="33"/>
      <c r="P254" s="33"/>
      <c r="Q254" s="33"/>
      <c r="R254" s="33"/>
      <c r="S254" s="33"/>
      <c r="T254" s="33"/>
      <c r="U254" s="33"/>
    </row>
    <row r="255" spans="2:21">
      <c r="B255" s="35"/>
      <c r="C255" s="30"/>
      <c r="D255" s="52" t="str">
        <f>"of the trued-up revenue requirement for each project, based on an FCR rate calculated from inputs on this TCOS. Line "&amp;B34&amp;" shows the incremental ARR for"</f>
        <v>of the trued-up revenue requirement for each project, based on an FCR rate calculated from inputs on this TCOS. Line 13 shows the incremental ARR for</v>
      </c>
      <c r="E255" s="7"/>
      <c r="F255" s="7"/>
      <c r="G255" s="7"/>
      <c r="H255" s="7"/>
      <c r="I255" s="7"/>
      <c r="J255" s="197"/>
      <c r="K255" s="38"/>
      <c r="L255" s="38"/>
      <c r="M255" s="38"/>
      <c r="N255" s="38"/>
      <c r="O255" s="33"/>
      <c r="P255" s="33"/>
      <c r="Q255" s="33"/>
      <c r="R255" s="33"/>
      <c r="S255" s="33"/>
      <c r="T255" s="33"/>
      <c r="U255" s="33"/>
    </row>
    <row r="256" spans="2:21">
      <c r="B256" s="35"/>
      <c r="C256" s="30"/>
      <c r="D256" s="52" t="s">
        <v>237</v>
      </c>
      <c r="E256" s="7"/>
      <c r="F256" s="7"/>
      <c r="G256" s="7"/>
      <c r="H256" s="7"/>
      <c r="I256" s="7"/>
      <c r="J256" s="197"/>
      <c r="K256" s="38"/>
      <c r="L256" s="38"/>
      <c r="M256" s="38"/>
      <c r="N256" s="38"/>
      <c r="O256" s="33"/>
      <c r="P256" s="14"/>
      <c r="Q256" s="14"/>
      <c r="R256" s="33"/>
      <c r="S256" s="33"/>
      <c r="T256" s="33"/>
      <c r="U256" s="33"/>
    </row>
    <row r="257" spans="2:21">
      <c r="B257" s="35"/>
      <c r="C257" s="30"/>
      <c r="D257" s="52"/>
      <c r="E257" s="7"/>
      <c r="F257" s="7"/>
      <c r="G257" s="7"/>
      <c r="H257" s="7"/>
      <c r="I257" s="7"/>
      <c r="J257" s="197"/>
      <c r="K257" s="38"/>
      <c r="L257" s="38"/>
      <c r="M257" s="38"/>
      <c r="N257" s="38"/>
      <c r="O257" s="33"/>
      <c r="P257" s="14"/>
      <c r="Q257" s="14"/>
      <c r="R257" s="33"/>
      <c r="S257" s="33"/>
      <c r="T257" s="33"/>
      <c r="U257" s="33"/>
    </row>
    <row r="258" spans="2:21">
      <c r="B258" s="35" t="s">
        <v>327</v>
      </c>
      <c r="C258" s="30"/>
      <c r="D258" s="1549" t="s">
        <v>1417</v>
      </c>
      <c r="E258" s="1548"/>
      <c r="F258" s="1548"/>
      <c r="G258" s="1548"/>
      <c r="H258" s="1548"/>
      <c r="I258" s="1548"/>
      <c r="J258" s="1548"/>
      <c r="K258" s="38"/>
      <c r="L258" s="38"/>
      <c r="M258" s="38"/>
      <c r="N258" s="38"/>
      <c r="O258" s="33"/>
      <c r="P258" s="14"/>
      <c r="Q258" s="14"/>
      <c r="R258" s="33"/>
      <c r="S258" s="33"/>
      <c r="T258" s="33"/>
      <c r="U258" s="33"/>
    </row>
    <row r="259" spans="2:21">
      <c r="B259" s="35"/>
      <c r="C259" s="30"/>
      <c r="D259" s="1548"/>
      <c r="E259" s="1548"/>
      <c r="F259" s="1548"/>
      <c r="G259" s="1548"/>
      <c r="H259" s="1548"/>
      <c r="I259" s="1548"/>
      <c r="J259" s="1548"/>
      <c r="K259" s="38"/>
      <c r="L259" s="38"/>
      <c r="M259" s="38"/>
      <c r="N259" s="38"/>
      <c r="O259" s="33"/>
      <c r="P259" s="14"/>
      <c r="Q259" s="33"/>
      <c r="R259" s="33"/>
      <c r="S259" s="33"/>
      <c r="T259" s="33"/>
      <c r="U259" s="33"/>
    </row>
    <row r="260" spans="2:21">
      <c r="B260" s="35"/>
      <c r="C260" s="30"/>
      <c r="E260" s="7"/>
      <c r="F260" s="7"/>
      <c r="G260" s="7"/>
      <c r="H260" s="7"/>
      <c r="I260" s="7"/>
      <c r="J260" s="197"/>
      <c r="K260" s="38"/>
      <c r="L260" s="38"/>
      <c r="M260" s="38"/>
      <c r="N260" s="38"/>
      <c r="O260" s="33"/>
      <c r="P260" s="33"/>
      <c r="Q260" s="33"/>
      <c r="R260" s="33"/>
      <c r="S260" s="33"/>
      <c r="T260" s="33"/>
      <c r="U260" s="33"/>
    </row>
    <row r="261" spans="2:21">
      <c r="B261" s="35" t="s">
        <v>328</v>
      </c>
      <c r="C261" s="30"/>
      <c r="D261" s="14" t="s">
        <v>234</v>
      </c>
      <c r="E261" s="7"/>
      <c r="F261" s="7"/>
      <c r="G261" s="7"/>
      <c r="H261" s="7"/>
      <c r="I261" s="7"/>
      <c r="J261" s="197"/>
      <c r="K261" s="38"/>
      <c r="L261" s="38"/>
      <c r="M261" s="38"/>
      <c r="N261" s="38"/>
      <c r="O261" s="33"/>
      <c r="P261" s="33"/>
      <c r="Q261" s="33"/>
      <c r="R261" s="33"/>
      <c r="S261" s="33"/>
      <c r="T261" s="33"/>
      <c r="U261" s="33"/>
    </row>
    <row r="262" spans="2:21">
      <c r="B262" s="35"/>
      <c r="C262" s="30"/>
      <c r="D262" s="14" t="s">
        <v>470</v>
      </c>
      <c r="E262" s="7"/>
      <c r="F262" s="7"/>
      <c r="G262" s="7"/>
      <c r="H262" s="7"/>
      <c r="I262" s="7"/>
      <c r="J262" s="197"/>
      <c r="K262" s="38"/>
      <c r="L262" s="38"/>
      <c r="M262" s="38"/>
      <c r="N262" s="38"/>
      <c r="O262" s="33"/>
      <c r="P262" s="33"/>
      <c r="Q262" s="33"/>
      <c r="R262" s="33"/>
      <c r="S262" s="33"/>
      <c r="T262" s="33"/>
      <c r="U262" s="33"/>
    </row>
    <row r="263" spans="2:21">
      <c r="C263" s="30"/>
      <c r="D263" s="14" t="s">
        <v>1126</v>
      </c>
      <c r="E263" s="7"/>
      <c r="F263" s="7"/>
      <c r="G263" s="7"/>
      <c r="H263" s="7"/>
      <c r="I263" s="7"/>
      <c r="J263" s="197"/>
      <c r="K263" s="38"/>
      <c r="L263" s="38"/>
      <c r="M263" s="38"/>
      <c r="N263" s="38"/>
      <c r="O263" s="33"/>
      <c r="P263" s="33"/>
      <c r="Q263" s="33"/>
      <c r="R263" s="33"/>
      <c r="S263" s="33"/>
      <c r="T263" s="33"/>
      <c r="U263" s="33"/>
    </row>
    <row r="264" spans="2:21">
      <c r="B264" s="35"/>
      <c r="C264" s="30"/>
      <c r="D264" s="14" t="s">
        <v>235</v>
      </c>
      <c r="E264" s="7"/>
      <c r="F264" s="7"/>
      <c r="G264" s="7"/>
      <c r="H264" s="7"/>
      <c r="I264" s="7"/>
      <c r="J264" s="197"/>
      <c r="K264" s="38"/>
      <c r="L264" s="38"/>
      <c r="M264" s="38"/>
      <c r="N264" s="38"/>
      <c r="O264" s="33"/>
      <c r="P264" s="33"/>
      <c r="Q264" s="33"/>
      <c r="R264" s="33"/>
      <c r="S264" s="33"/>
      <c r="T264" s="33"/>
      <c r="U264" s="33"/>
    </row>
    <row r="265" spans="2:21">
      <c r="B265" s="35"/>
      <c r="C265" s="30"/>
      <c r="D265" s="14"/>
      <c r="E265" s="7"/>
      <c r="F265" s="7"/>
      <c r="G265" s="7"/>
      <c r="H265" s="7"/>
      <c r="I265" s="7"/>
      <c r="J265" s="197"/>
      <c r="K265" s="38"/>
      <c r="L265" s="38"/>
      <c r="M265" s="38"/>
      <c r="N265" s="38"/>
      <c r="O265" s="33"/>
      <c r="P265" s="33"/>
      <c r="Q265" s="33"/>
      <c r="R265" s="33"/>
      <c r="S265" s="33"/>
      <c r="T265" s="33"/>
      <c r="U265" s="33"/>
    </row>
    <row r="266" spans="2:21">
      <c r="B266" s="35" t="s">
        <v>329</v>
      </c>
      <c r="C266" s="30"/>
      <c r="D266" s="14" t="s">
        <v>160</v>
      </c>
      <c r="E266" s="7"/>
      <c r="F266" s="7"/>
      <c r="G266" s="7"/>
      <c r="H266" s="7"/>
      <c r="I266" s="7"/>
      <c r="J266" s="197"/>
      <c r="K266" s="38"/>
      <c r="L266" s="38"/>
      <c r="M266" s="38"/>
      <c r="N266" s="38"/>
      <c r="O266" s="33"/>
      <c r="P266" s="33"/>
      <c r="Q266" s="33"/>
      <c r="R266" s="33"/>
      <c r="S266" s="33"/>
      <c r="T266" s="33"/>
      <c r="U266" s="33"/>
    </row>
    <row r="267" spans="2:21">
      <c r="B267" s="35"/>
      <c r="C267" s="30"/>
      <c r="D267" s="14"/>
      <c r="E267" s="7"/>
      <c r="F267" s="7"/>
      <c r="G267" s="7"/>
      <c r="H267" s="7"/>
      <c r="I267" s="7"/>
      <c r="J267" s="197"/>
      <c r="K267" s="38"/>
      <c r="L267" s="38"/>
      <c r="M267" s="38"/>
      <c r="N267" s="38"/>
      <c r="O267" s="33"/>
      <c r="P267" s="33"/>
      <c r="Q267" s="33"/>
      <c r="R267" s="33"/>
      <c r="S267" s="33"/>
      <c r="T267" s="33"/>
      <c r="U267" s="33"/>
    </row>
    <row r="268" spans="2:21">
      <c r="B268" s="35" t="s">
        <v>330</v>
      </c>
      <c r="C268" s="30"/>
      <c r="D268" s="14" t="str">
        <f>"Cash Working Capital assigned to transmission is one-eighth of O&amp;M allocated to transmission on line "&amp;B130&amp;"."</f>
        <v>Cash Working Capital assigned to transmission is one-eighth of O&amp;M allocated to transmission on line 68.</v>
      </c>
      <c r="E268" s="7"/>
      <c r="F268" s="7"/>
      <c r="G268" s="7"/>
      <c r="H268" s="7"/>
      <c r="I268" s="7"/>
      <c r="J268" s="197"/>
      <c r="K268" s="38"/>
      <c r="L268" s="38"/>
      <c r="M268" s="38"/>
      <c r="N268" s="38"/>
      <c r="O268" s="33"/>
      <c r="P268" s="33"/>
      <c r="Q268" s="33"/>
      <c r="R268" s="33"/>
      <c r="S268" s="33"/>
      <c r="T268" s="33"/>
      <c r="U268" s="33"/>
    </row>
    <row r="269" spans="2:21">
      <c r="B269" s="35"/>
      <c r="C269" s="30"/>
      <c r="D269" s="14"/>
      <c r="E269" s="7"/>
      <c r="F269" s="7"/>
      <c r="G269" s="7"/>
      <c r="H269" s="7"/>
      <c r="I269" s="7"/>
      <c r="J269" s="197"/>
      <c r="K269" s="38"/>
      <c r="L269" s="38"/>
      <c r="M269" s="38"/>
      <c r="N269" s="38"/>
      <c r="O269" s="33"/>
      <c r="P269" s="33"/>
      <c r="Q269" s="33"/>
      <c r="R269" s="33"/>
      <c r="S269" s="33"/>
      <c r="T269" s="33"/>
      <c r="U269" s="33"/>
    </row>
    <row r="270" spans="2:21">
      <c r="B270" s="36" t="s">
        <v>331</v>
      </c>
      <c r="C270" s="32"/>
      <c r="D270" s="5" t="str">
        <f>"Consistent with Paragraph 657 of Order 2003-A, the amount on line "&amp;B113&amp;" is equal to the balance of IPP System Upgrade Credits owed to transmission customers that"</f>
        <v>Consistent with Paragraph 657 of Order 2003-A, the amount on line  is equal to the balance of IPP System Upgrade Credits owed to transmission customers that</v>
      </c>
      <c r="E270" s="5"/>
      <c r="F270" s="5"/>
      <c r="G270" s="5"/>
      <c r="H270" s="5"/>
      <c r="I270" s="5"/>
      <c r="J270" s="130"/>
      <c r="K270" s="38"/>
      <c r="L270" s="38"/>
      <c r="M270" s="38"/>
      <c r="N270" s="38"/>
      <c r="O270" s="33"/>
      <c r="P270" s="33"/>
      <c r="Q270" s="33"/>
      <c r="R270" s="33"/>
      <c r="S270" s="33"/>
      <c r="T270" s="33"/>
      <c r="U270" s="33"/>
    </row>
    <row r="271" spans="2:21">
      <c r="B271" s="37"/>
      <c r="C271" s="5"/>
      <c r="D271" s="5" t="s">
        <v>404</v>
      </c>
      <c r="E271" s="5"/>
      <c r="F271" s="5"/>
      <c r="G271" s="5"/>
      <c r="H271" s="5"/>
      <c r="I271" s="5"/>
      <c r="J271" s="130"/>
      <c r="K271" s="38"/>
      <c r="L271" s="38"/>
      <c r="M271" s="38"/>
      <c r="N271" s="38"/>
      <c r="O271" s="33"/>
      <c r="P271" s="33"/>
      <c r="Q271" s="33"/>
      <c r="R271" s="33"/>
      <c r="S271" s="33"/>
      <c r="T271" s="33"/>
      <c r="U271" s="33"/>
    </row>
    <row r="272" spans="2:21">
      <c r="B272" s="37"/>
      <c r="C272" s="5"/>
      <c r="D272" s="5" t="str">
        <f>"expense is included on line "&amp;B182&amp;"."</f>
        <v>expense is included on line 111.</v>
      </c>
      <c r="E272" s="5"/>
      <c r="F272" s="5"/>
      <c r="G272" s="5"/>
      <c r="H272" s="5"/>
      <c r="I272" s="5"/>
      <c r="J272" s="130"/>
      <c r="K272" s="38"/>
      <c r="L272" s="38"/>
      <c r="M272" s="38"/>
      <c r="N272" s="38"/>
      <c r="O272" s="33"/>
      <c r="P272" s="33"/>
      <c r="Q272" s="33"/>
      <c r="R272" s="33"/>
      <c r="S272" s="33"/>
      <c r="T272" s="33"/>
      <c r="U272" s="33"/>
    </row>
    <row r="273" spans="2:21">
      <c r="B273" s="37"/>
      <c r="C273" s="5"/>
      <c r="D273" s="5"/>
      <c r="E273" s="5"/>
      <c r="F273" s="5"/>
      <c r="G273" s="5"/>
      <c r="H273" s="5"/>
      <c r="I273" s="5"/>
      <c r="J273" s="130"/>
      <c r="K273" s="38"/>
      <c r="L273" s="38"/>
      <c r="M273" s="38"/>
      <c r="N273" s="38"/>
      <c r="O273" s="33"/>
      <c r="P273" s="33"/>
      <c r="Q273" s="33"/>
      <c r="R273" s="33"/>
      <c r="S273" s="33"/>
      <c r="T273" s="33"/>
      <c r="U273" s="33"/>
    </row>
    <row r="274" spans="2:21" ht="20.25" customHeight="1">
      <c r="B274" s="36" t="s">
        <v>332</v>
      </c>
      <c r="C274" s="5"/>
      <c r="D274" s="1546" t="str">
        <f>"Line "&amp;B127&amp;"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4" s="1546"/>
      <c r="F274" s="1546"/>
      <c r="G274" s="1546"/>
      <c r="H274" s="1546"/>
      <c r="I274" s="1546"/>
      <c r="J274" s="1546"/>
      <c r="K274" s="38"/>
      <c r="L274" s="38"/>
      <c r="M274" s="38"/>
      <c r="N274" s="38"/>
      <c r="O274" s="33"/>
      <c r="P274" s="33"/>
      <c r="Q274" s="33"/>
      <c r="R274" s="33"/>
      <c r="S274" s="33"/>
      <c r="T274" s="33"/>
      <c r="U274" s="33"/>
    </row>
    <row r="275" spans="2:21">
      <c r="B275" s="36"/>
      <c r="C275" s="5"/>
      <c r="D275" s="14"/>
      <c r="E275" s="5"/>
      <c r="F275" s="5"/>
      <c r="G275" s="5"/>
      <c r="H275" s="5"/>
      <c r="I275" s="5"/>
      <c r="J275" s="130"/>
      <c r="K275" s="38"/>
      <c r="L275" s="38"/>
      <c r="M275" s="38"/>
      <c r="N275" s="38"/>
      <c r="O275" s="33"/>
      <c r="P275" s="33"/>
      <c r="Q275" s="33"/>
      <c r="R275" s="33"/>
      <c r="S275" s="33"/>
      <c r="T275" s="33"/>
      <c r="U275" s="33"/>
    </row>
    <row r="276" spans="2:21">
      <c r="B276" s="36" t="s">
        <v>333</v>
      </c>
      <c r="C276" s="5"/>
      <c r="D276" s="5" t="s">
        <v>161</v>
      </c>
      <c r="E276" s="5"/>
      <c r="F276" s="5"/>
      <c r="G276" s="5"/>
      <c r="H276" s="5"/>
      <c r="I276" s="5"/>
      <c r="J276" s="130"/>
      <c r="K276" s="38"/>
      <c r="L276" s="38"/>
      <c r="M276" s="38"/>
      <c r="N276" s="38"/>
      <c r="O276" s="33"/>
      <c r="P276" s="33"/>
      <c r="Q276" s="33"/>
      <c r="R276" s="33"/>
      <c r="S276" s="33"/>
      <c r="T276" s="33"/>
      <c r="U276" s="33"/>
    </row>
    <row r="277" spans="2:21">
      <c r="B277" s="36"/>
      <c r="C277" s="5"/>
      <c r="D277" s="5"/>
      <c r="E277" s="5"/>
      <c r="F277" s="5"/>
      <c r="G277" s="5"/>
      <c r="H277" s="5"/>
      <c r="I277" s="5"/>
      <c r="J277" s="130"/>
      <c r="K277" s="38"/>
      <c r="L277" s="38"/>
      <c r="M277" s="38"/>
      <c r="N277" s="38"/>
      <c r="O277" s="33"/>
      <c r="P277" s="33"/>
      <c r="Q277" s="33"/>
      <c r="R277" s="33"/>
      <c r="S277" s="33"/>
      <c r="T277" s="33"/>
      <c r="U277" s="33"/>
    </row>
    <row r="278" spans="2:21">
      <c r="B278" s="35" t="s">
        <v>334</v>
      </c>
      <c r="C278" s="5"/>
      <c r="D278" s="5" t="s">
        <v>1427</v>
      </c>
      <c r="E278" s="5"/>
      <c r="F278" s="5"/>
      <c r="G278" s="5"/>
      <c r="H278" s="5"/>
      <c r="I278" s="5"/>
      <c r="J278" s="130"/>
      <c r="K278" s="38"/>
      <c r="L278" s="38"/>
      <c r="M278" s="38"/>
      <c r="N278" s="38"/>
      <c r="O278" s="33"/>
      <c r="P278" s="33"/>
      <c r="Q278" s="33"/>
      <c r="R278" s="33"/>
      <c r="S278" s="33"/>
      <c r="T278" s="33"/>
      <c r="U278" s="33"/>
    </row>
    <row r="279" spans="2:21">
      <c r="B279" s="36"/>
      <c r="C279" s="5"/>
      <c r="D279" s="5"/>
      <c r="E279" s="5"/>
      <c r="F279" s="5"/>
      <c r="G279" s="5"/>
      <c r="H279" s="5"/>
      <c r="I279" s="5"/>
      <c r="J279" s="130"/>
      <c r="K279" s="38"/>
      <c r="L279" s="38"/>
      <c r="M279" s="38"/>
      <c r="N279" s="38"/>
      <c r="O279" s="33"/>
      <c r="P279" s="33"/>
      <c r="Q279" s="33"/>
      <c r="R279" s="33"/>
      <c r="S279" s="33"/>
      <c r="T279" s="33"/>
      <c r="U279" s="33"/>
    </row>
    <row r="280" spans="2:21">
      <c r="B280" s="35" t="s">
        <v>335</v>
      </c>
      <c r="C280" s="30"/>
      <c r="D280" s="14" t="s">
        <v>1416</v>
      </c>
      <c r="E280" s="7"/>
      <c r="F280" s="7"/>
      <c r="G280" s="7"/>
      <c r="H280" s="7"/>
      <c r="I280" s="7"/>
      <c r="J280" s="197"/>
      <c r="K280" s="38"/>
      <c r="L280" s="38"/>
      <c r="M280" s="38"/>
      <c r="N280" s="38"/>
      <c r="O280" s="33"/>
      <c r="P280" s="33"/>
      <c r="Q280" s="33"/>
      <c r="R280" s="33"/>
      <c r="S280" s="33"/>
      <c r="T280" s="33"/>
      <c r="U280" s="33"/>
    </row>
    <row r="281" spans="2:21">
      <c r="B281" s="35"/>
      <c r="C281" s="30"/>
      <c r="D281" s="14" t="s">
        <v>162</v>
      </c>
      <c r="E281" s="7"/>
      <c r="F281" s="7"/>
      <c r="G281" s="7"/>
      <c r="H281" s="7"/>
      <c r="I281" s="7"/>
      <c r="J281" s="197"/>
      <c r="K281" s="38"/>
      <c r="L281" s="38"/>
      <c r="M281" s="38"/>
      <c r="N281" s="38"/>
      <c r="O281" s="33"/>
      <c r="P281" s="33"/>
      <c r="Q281" s="33"/>
      <c r="R281" s="33"/>
      <c r="S281" s="33"/>
      <c r="T281" s="33"/>
      <c r="U281" s="33"/>
    </row>
    <row r="282" spans="2:21">
      <c r="B282" s="35"/>
      <c r="C282" s="30"/>
      <c r="D282" s="14" t="s">
        <v>163</v>
      </c>
      <c r="E282" s="7"/>
      <c r="F282" s="7"/>
      <c r="G282" s="7"/>
      <c r="H282" s="7"/>
      <c r="I282" s="7"/>
      <c r="J282" s="197"/>
      <c r="K282" s="38"/>
      <c r="L282" s="38"/>
      <c r="M282" s="38"/>
      <c r="N282" s="38"/>
      <c r="O282" s="33"/>
      <c r="P282" s="33"/>
      <c r="Q282" s="33"/>
      <c r="R282" s="33"/>
      <c r="S282" s="33"/>
      <c r="T282" s="33"/>
      <c r="U282" s="33"/>
    </row>
    <row r="283" spans="2:21">
      <c r="B283" s="35"/>
      <c r="C283" s="30"/>
      <c r="D283" s="5" t="s">
        <v>1418</v>
      </c>
      <c r="E283" s="7"/>
      <c r="F283" s="7"/>
      <c r="G283" s="7"/>
      <c r="H283" s="7"/>
      <c r="I283" s="7"/>
      <c r="J283" s="197"/>
      <c r="K283" s="38"/>
      <c r="L283" s="38"/>
      <c r="M283" s="38"/>
      <c r="N283" s="38"/>
      <c r="O283" s="33"/>
      <c r="P283" s="33"/>
      <c r="Q283" s="33"/>
      <c r="R283" s="33"/>
      <c r="S283" s="33"/>
      <c r="T283" s="33"/>
      <c r="U283" s="33"/>
    </row>
    <row r="284" spans="2:21">
      <c r="B284" s="35"/>
      <c r="C284" s="30"/>
      <c r="D284" s="5"/>
      <c r="E284" s="7"/>
      <c r="F284" s="7"/>
      <c r="G284" s="7"/>
      <c r="H284" s="7"/>
      <c r="I284" s="7"/>
      <c r="J284" s="197"/>
      <c r="K284" s="38"/>
      <c r="L284" s="38"/>
      <c r="M284" s="38"/>
      <c r="N284" s="38"/>
      <c r="O284" s="33"/>
      <c r="P284" s="33"/>
      <c r="Q284" s="33"/>
      <c r="R284" s="33"/>
      <c r="S284" s="33"/>
      <c r="T284" s="33"/>
      <c r="U284" s="33"/>
    </row>
    <row r="285" spans="2:21" ht="62.25" customHeight="1">
      <c r="B285" s="664" t="s">
        <v>336</v>
      </c>
      <c r="C285" s="30"/>
      <c r="D285" s="1543" t="s">
        <v>1419</v>
      </c>
      <c r="E285" s="1543"/>
      <c r="F285" s="1543"/>
      <c r="G285" s="1543"/>
      <c r="H285" s="1543"/>
      <c r="I285" s="1543"/>
      <c r="J285" s="1543"/>
      <c r="K285" s="38"/>
      <c r="L285" s="38"/>
      <c r="M285" s="38"/>
      <c r="N285" s="38"/>
      <c r="O285" s="33"/>
      <c r="P285" s="33"/>
      <c r="Q285" s="33"/>
      <c r="R285" s="33"/>
      <c r="S285" s="33"/>
      <c r="T285" s="33"/>
      <c r="U285" s="33"/>
    </row>
    <row r="286" spans="2:21">
      <c r="B286" s="73"/>
      <c r="C286" s="30"/>
      <c r="D286" s="5"/>
      <c r="E286" s="7"/>
      <c r="F286" s="7"/>
      <c r="G286" s="7"/>
      <c r="H286" s="7"/>
      <c r="I286" s="7"/>
      <c r="J286" s="197"/>
      <c r="K286" s="38"/>
      <c r="L286" s="38"/>
      <c r="M286" s="38"/>
      <c r="N286" s="38"/>
      <c r="O286" s="33"/>
      <c r="P286" s="33"/>
      <c r="Q286" s="33"/>
      <c r="R286" s="33"/>
      <c r="S286" s="33"/>
      <c r="T286" s="33"/>
      <c r="U286" s="33"/>
    </row>
    <row r="287" spans="2:21" ht="30.75" customHeight="1">
      <c r="B287" s="664" t="s">
        <v>416</v>
      </c>
      <c r="C287" s="30"/>
      <c r="D287" s="1545" t="s">
        <v>1127</v>
      </c>
      <c r="E287" s="1545"/>
      <c r="F287" s="1545"/>
      <c r="G287" s="1545"/>
      <c r="H287" s="1545"/>
      <c r="I287" s="1545"/>
      <c r="J287" s="1545"/>
      <c r="K287" s="38"/>
      <c r="L287" s="38"/>
      <c r="M287" s="38"/>
      <c r="N287" s="38"/>
      <c r="O287" s="33"/>
      <c r="P287" s="33"/>
      <c r="Q287" s="33"/>
      <c r="R287" s="33"/>
      <c r="S287" s="33"/>
      <c r="T287" s="33"/>
      <c r="U287" s="33"/>
    </row>
    <row r="288" spans="2:21">
      <c r="C288" s="30"/>
      <c r="D288" s="313"/>
      <c r="E288" s="313"/>
      <c r="F288" s="313"/>
      <c r="G288" s="313"/>
      <c r="H288" s="313"/>
      <c r="I288" s="313"/>
      <c r="J288" s="313"/>
      <c r="K288" s="38"/>
      <c r="L288" s="38"/>
      <c r="M288" s="38"/>
      <c r="N288" s="38"/>
      <c r="O288" s="33"/>
      <c r="P288" s="33"/>
      <c r="Q288" s="33"/>
      <c r="R288" s="33"/>
      <c r="S288" s="33"/>
      <c r="T288" s="33"/>
      <c r="U288" s="33"/>
    </row>
    <row r="289" spans="2:21">
      <c r="B289" s="35" t="s">
        <v>437</v>
      </c>
      <c r="C289" s="30"/>
      <c r="D289" s="14" t="s">
        <v>458</v>
      </c>
      <c r="E289" s="7"/>
      <c r="F289" s="7"/>
      <c r="G289" s="7"/>
      <c r="H289" s="7"/>
      <c r="I289" s="7"/>
      <c r="J289" s="197"/>
      <c r="K289" s="38"/>
      <c r="L289" s="38"/>
      <c r="M289" s="38"/>
      <c r="N289" s="38"/>
      <c r="O289" s="33"/>
      <c r="P289" s="33"/>
      <c r="Q289" s="33"/>
      <c r="R289" s="33"/>
      <c r="S289" s="33"/>
      <c r="T289" s="33"/>
      <c r="U289" s="33"/>
    </row>
    <row r="290" spans="2:21">
      <c r="B290" s="35"/>
      <c r="C290" s="30"/>
      <c r="D290" s="14" t="s">
        <v>6</v>
      </c>
      <c r="E290" s="7"/>
      <c r="F290" s="7"/>
      <c r="G290" s="7"/>
      <c r="H290" s="7"/>
      <c r="I290" s="7"/>
      <c r="J290" s="197"/>
      <c r="K290" s="38"/>
      <c r="L290" s="38"/>
      <c r="M290" s="38"/>
      <c r="N290" s="38"/>
      <c r="O290" s="33"/>
      <c r="P290" s="33"/>
      <c r="Q290" s="33"/>
      <c r="R290" s="33"/>
      <c r="S290" s="33"/>
      <c r="T290" s="33"/>
      <c r="U290" s="33"/>
    </row>
    <row r="291" spans="2:21">
      <c r="B291" s="35"/>
      <c r="C291" s="30"/>
      <c r="D291" s="14" t="s">
        <v>7</v>
      </c>
      <c r="E291" s="7"/>
      <c r="F291" s="7"/>
      <c r="G291" s="7"/>
      <c r="H291" s="7"/>
      <c r="I291" s="7"/>
      <c r="J291" s="197"/>
      <c r="K291" s="38"/>
      <c r="L291" s="38"/>
      <c r="M291" s="38"/>
      <c r="N291" s="38"/>
      <c r="O291" s="33"/>
      <c r="P291" s="33"/>
      <c r="Q291" s="33"/>
      <c r="R291" s="33"/>
      <c r="S291" s="33"/>
      <c r="T291" s="33"/>
      <c r="U291" s="33"/>
    </row>
    <row r="292" spans="2:21">
      <c r="B292" s="35"/>
      <c r="C292" s="30"/>
      <c r="D292" s="14" t="s">
        <v>8</v>
      </c>
      <c r="E292" s="7"/>
      <c r="F292" s="7"/>
      <c r="G292" s="7"/>
      <c r="H292" s="7"/>
      <c r="I292" s="7"/>
      <c r="J292" s="197"/>
      <c r="K292" s="38"/>
      <c r="L292" s="38"/>
      <c r="M292" s="38"/>
      <c r="N292" s="38"/>
      <c r="O292" s="33"/>
      <c r="P292" s="33"/>
      <c r="Q292" s="33"/>
      <c r="R292" s="33"/>
      <c r="S292" s="33"/>
      <c r="T292" s="33"/>
      <c r="U292" s="33"/>
    </row>
    <row r="293" spans="2:21">
      <c r="B293" s="35"/>
      <c r="C293" s="30"/>
      <c r="D293" s="14" t="s">
        <v>9</v>
      </c>
      <c r="E293" s="7"/>
      <c r="F293" s="7"/>
      <c r="G293" s="7"/>
      <c r="H293" s="7"/>
      <c r="I293" s="7"/>
      <c r="J293" s="197"/>
      <c r="K293" s="38"/>
      <c r="L293" s="38"/>
      <c r="M293" s="38"/>
      <c r="N293" s="38"/>
      <c r="O293" s="33"/>
      <c r="P293" s="33"/>
      <c r="Q293" s="33"/>
      <c r="R293" s="33"/>
      <c r="S293" s="33"/>
      <c r="T293" s="33"/>
      <c r="U293" s="33"/>
    </row>
    <row r="294" spans="2:21">
      <c r="B294" s="35"/>
      <c r="C294" s="30"/>
      <c r="D294" s="14" t="str">
        <f>"(ln "&amp;B164&amp;") multiplied by (1/1-T) .  If the applicable tax rates are zero enter 0."</f>
        <v>(ln 97) multiplied by (1/1-T) .  If the applicable tax rates are zero enter 0.</v>
      </c>
      <c r="E294" s="7"/>
      <c r="F294" s="7"/>
      <c r="G294" s="7"/>
      <c r="H294" s="7"/>
      <c r="I294" s="7"/>
      <c r="J294" s="197"/>
      <c r="K294" s="38"/>
      <c r="L294" s="38"/>
      <c r="M294" s="38"/>
      <c r="N294" s="38"/>
      <c r="O294" s="33"/>
      <c r="P294" s="33"/>
      <c r="Q294" s="33"/>
      <c r="R294" s="33"/>
      <c r="S294" s="33"/>
      <c r="T294" s="33"/>
      <c r="U294" s="33"/>
    </row>
    <row r="295" spans="2:21">
      <c r="B295" s="35" t="s">
        <v>291</v>
      </c>
      <c r="C295" s="30"/>
      <c r="D295" s="14" t="s">
        <v>10</v>
      </c>
      <c r="E295" s="7" t="s">
        <v>11</v>
      </c>
      <c r="F295" s="501">
        <v>0.21</v>
      </c>
      <c r="G295" s="7"/>
      <c r="I295" s="7"/>
      <c r="J295" s="197"/>
      <c r="K295" s="38"/>
      <c r="L295" s="38"/>
      <c r="M295" s="38"/>
      <c r="N295" s="38"/>
      <c r="O295" s="33"/>
      <c r="P295" s="33"/>
      <c r="Q295" s="33"/>
      <c r="R295" s="33"/>
      <c r="S295" s="33"/>
      <c r="T295" s="33"/>
      <c r="U295" s="33"/>
    </row>
    <row r="296" spans="2:21">
      <c r="B296" s="35"/>
      <c r="C296" s="30"/>
      <c r="D296" s="14"/>
      <c r="E296" s="7" t="s">
        <v>12</v>
      </c>
      <c r="F296" s="34">
        <f>+'PSO WS K State Taxes'!F28</f>
        <v>5.4899999999999997E-2</v>
      </c>
      <c r="G296" s="7" t="s">
        <v>137</v>
      </c>
      <c r="I296" s="7"/>
      <c r="J296" s="197"/>
      <c r="K296" s="38"/>
      <c r="L296" s="38"/>
      <c r="M296" s="38"/>
      <c r="N296" s="38"/>
      <c r="O296" s="33"/>
      <c r="P296" s="33"/>
      <c r="Q296" s="33"/>
      <c r="R296" s="33"/>
      <c r="S296" s="33"/>
      <c r="T296" s="33"/>
      <c r="U296" s="33"/>
    </row>
    <row r="297" spans="2:21">
      <c r="B297" s="35"/>
      <c r="C297" s="30"/>
      <c r="D297" s="14"/>
      <c r="E297" s="7" t="s">
        <v>13</v>
      </c>
      <c r="F297" s="501">
        <v>0</v>
      </c>
      <c r="G297" s="7" t="s">
        <v>14</v>
      </c>
      <c r="I297" s="7"/>
      <c r="J297" s="197"/>
      <c r="K297" s="38"/>
      <c r="L297" s="38"/>
      <c r="M297" s="38"/>
      <c r="N297" s="38"/>
      <c r="O297" s="33"/>
      <c r="P297" s="33"/>
      <c r="Q297" s="33"/>
      <c r="R297" s="33"/>
      <c r="S297" s="33"/>
      <c r="T297" s="33"/>
      <c r="U297" s="33"/>
    </row>
    <row r="298" spans="2:21" ht="73.5" customHeight="1">
      <c r="B298" s="35"/>
      <c r="C298" s="30"/>
      <c r="D298" s="1544" t="s">
        <v>1428</v>
      </c>
      <c r="E298" s="1544"/>
      <c r="F298" s="1544"/>
      <c r="G298" s="1544"/>
      <c r="H298" s="1544"/>
      <c r="I298" s="1544"/>
      <c r="J298" s="1544"/>
      <c r="K298" s="663"/>
      <c r="L298" s="663"/>
      <c r="M298" s="38"/>
      <c r="N298" s="38"/>
      <c r="O298" s="33"/>
      <c r="P298" s="33"/>
      <c r="Q298" s="33"/>
      <c r="R298" s="33"/>
      <c r="S298" s="33"/>
      <c r="T298" s="33"/>
      <c r="U298" s="33"/>
    </row>
    <row r="299" spans="2:21">
      <c r="B299" s="35"/>
      <c r="C299" s="30"/>
      <c r="D299" s="14"/>
      <c r="E299" s="7"/>
      <c r="F299" s="34"/>
      <c r="G299" s="7"/>
      <c r="I299" s="7"/>
      <c r="J299" s="197"/>
      <c r="K299" s="38"/>
      <c r="L299" s="38"/>
      <c r="M299" s="38"/>
      <c r="N299" s="38"/>
      <c r="O299" s="33"/>
      <c r="P299" s="33"/>
      <c r="Q299" s="33"/>
      <c r="R299" s="33"/>
      <c r="S299" s="33"/>
      <c r="T299" s="33"/>
      <c r="U299" s="33"/>
    </row>
    <row r="300" spans="2:21">
      <c r="B300" s="35"/>
      <c r="C300" s="30"/>
      <c r="D300" s="14"/>
      <c r="E300" s="7"/>
      <c r="F300" s="34"/>
      <c r="G300" s="7"/>
      <c r="I300" s="7"/>
      <c r="J300" s="197"/>
      <c r="K300" s="38"/>
      <c r="L300" s="38"/>
      <c r="M300" s="38"/>
      <c r="N300" s="38"/>
      <c r="O300" s="33"/>
      <c r="P300" s="33"/>
      <c r="Q300" s="33"/>
      <c r="R300" s="33"/>
      <c r="S300" s="33"/>
      <c r="T300" s="33"/>
      <c r="U300" s="33"/>
    </row>
    <row r="301" spans="2:21">
      <c r="B301" s="35" t="s">
        <v>15</v>
      </c>
      <c r="C301" s="30"/>
      <c r="D301" s="14" t="s">
        <v>1420</v>
      </c>
      <c r="E301" s="7"/>
      <c r="F301" s="7"/>
      <c r="G301" s="34"/>
      <c r="H301" s="7"/>
      <c r="I301" s="7"/>
      <c r="J301" s="197"/>
      <c r="K301" s="38"/>
      <c r="L301" s="38"/>
      <c r="M301" s="38"/>
      <c r="N301" s="38"/>
      <c r="O301" s="33"/>
      <c r="P301" s="33"/>
      <c r="Q301" s="33"/>
      <c r="R301" s="33"/>
      <c r="S301" s="33"/>
      <c r="T301" s="33"/>
      <c r="U301" s="33"/>
    </row>
    <row r="302" spans="2:21">
      <c r="B302" s="35"/>
      <c r="C302" s="30"/>
      <c r="D302" s="14" t="s">
        <v>0</v>
      </c>
      <c r="E302" s="7"/>
      <c r="F302" s="7"/>
      <c r="G302" s="34"/>
      <c r="H302" s="7"/>
      <c r="I302" s="7"/>
      <c r="J302" s="197"/>
      <c r="K302" s="38"/>
      <c r="L302" s="38"/>
      <c r="M302" s="38"/>
      <c r="N302" s="38"/>
      <c r="O302" s="33"/>
      <c r="P302" s="33"/>
      <c r="Q302" s="33"/>
      <c r="R302" s="33"/>
      <c r="S302" s="33"/>
      <c r="T302" s="33"/>
      <c r="U302" s="33"/>
    </row>
    <row r="303" spans="2:21">
      <c r="B303" s="35"/>
      <c r="C303" s="30"/>
      <c r="D303" s="14"/>
      <c r="E303" s="7"/>
      <c r="F303" s="7"/>
      <c r="G303" s="34"/>
      <c r="H303" s="7"/>
      <c r="I303" s="7"/>
      <c r="J303" s="197"/>
      <c r="K303" s="38"/>
      <c r="L303" s="38"/>
      <c r="M303" s="38"/>
      <c r="N303" s="38"/>
      <c r="O303" s="33"/>
      <c r="P303" s="33"/>
      <c r="Q303" s="33"/>
      <c r="R303" s="33"/>
      <c r="S303" s="33"/>
      <c r="T303" s="33"/>
      <c r="U303" s="33"/>
    </row>
    <row r="304" spans="2:21" ht="36" customHeight="1">
      <c r="B304" s="1061" t="s">
        <v>16</v>
      </c>
      <c r="C304" s="1062"/>
      <c r="D304" s="1543" t="str">
        <f>"Removes plant excluded from the OATT because it does not meet the SPP's definition of Transmission Facilities or is otherwise ineligible to be recovered under the OATT, other than Transmission Serving Generation which is removed at Worksheet A. See Note "&amp;B314&amp;"."</f>
        <v>Removes plant excluded from the OATT because it does not meet the SPP's definition of Transmission Facilities or is otherwise ineligible to be recovered under the OATT, other than Transmission Serving Generation which is removed at Worksheet A. See Note U.</v>
      </c>
      <c r="E304" s="1543"/>
      <c r="F304" s="1543"/>
      <c r="G304" s="1543"/>
      <c r="H304" s="1543"/>
      <c r="I304" s="1543"/>
      <c r="J304" s="1543"/>
      <c r="K304" s="38"/>
      <c r="L304" s="38"/>
      <c r="M304" s="38"/>
      <c r="N304" s="38"/>
      <c r="O304" s="33"/>
      <c r="P304" s="33"/>
      <c r="Q304" s="33"/>
      <c r="R304" s="33"/>
      <c r="S304" s="33"/>
      <c r="T304" s="33"/>
      <c r="U304" s="33"/>
    </row>
    <row r="305" spans="2:21">
      <c r="B305" s="15"/>
      <c r="D305" s="14"/>
      <c r="E305" s="5"/>
      <c r="F305" s="5"/>
      <c r="G305" s="5"/>
      <c r="H305" s="5"/>
      <c r="I305" s="5"/>
      <c r="J305" s="130"/>
      <c r="K305" s="38"/>
      <c r="L305" s="38"/>
      <c r="M305" s="38"/>
      <c r="N305" s="38"/>
      <c r="O305" s="33"/>
      <c r="P305" s="33"/>
      <c r="Q305" s="33"/>
      <c r="R305" s="33"/>
      <c r="S305" s="33"/>
      <c r="T305" s="33"/>
      <c r="U305" s="33"/>
    </row>
    <row r="306" spans="2:21">
      <c r="B306" s="35" t="s">
        <v>17</v>
      </c>
      <c r="C306" s="30"/>
      <c r="D306" s="14" t="s">
        <v>587</v>
      </c>
      <c r="E306" s="5"/>
      <c r="F306" s="5"/>
      <c r="G306" s="5"/>
      <c r="H306" s="5"/>
      <c r="I306" s="5"/>
      <c r="J306" s="130"/>
      <c r="K306" s="38"/>
      <c r="L306" s="38"/>
      <c r="M306" s="38"/>
      <c r="N306" s="38"/>
      <c r="O306" s="33"/>
      <c r="P306" s="33"/>
      <c r="Q306" s="33"/>
      <c r="R306" s="33"/>
      <c r="S306" s="33"/>
      <c r="T306" s="33"/>
      <c r="U306" s="33"/>
    </row>
    <row r="307" spans="2:21">
      <c r="B307" s="35"/>
      <c r="C307" s="30"/>
      <c r="D307" s="14"/>
      <c r="E307" s="7"/>
      <c r="F307" s="7"/>
      <c r="G307" s="7"/>
      <c r="H307" s="7"/>
      <c r="I307" s="7"/>
      <c r="J307" s="197"/>
      <c r="K307" s="38"/>
      <c r="L307" s="38"/>
      <c r="M307" s="38"/>
      <c r="N307" s="38"/>
      <c r="O307" s="33"/>
      <c r="P307" s="33"/>
      <c r="Q307" s="33"/>
      <c r="R307" s="33"/>
      <c r="S307" s="33"/>
      <c r="T307" s="33"/>
      <c r="U307" s="33"/>
    </row>
    <row r="308" spans="2:21">
      <c r="B308" s="35" t="s">
        <v>18</v>
      </c>
      <c r="C308" s="30"/>
      <c r="D308" s="14" t="s">
        <v>167</v>
      </c>
      <c r="E308" s="7"/>
      <c r="F308" s="7"/>
      <c r="G308" s="7"/>
      <c r="H308" s="7"/>
      <c r="I308" s="7"/>
      <c r="J308" s="197"/>
      <c r="K308" s="38"/>
      <c r="L308" s="38"/>
      <c r="M308" s="38"/>
      <c r="N308" s="38"/>
      <c r="O308" s="33"/>
      <c r="P308" s="33"/>
      <c r="Q308" s="33"/>
      <c r="R308" s="33"/>
      <c r="S308" s="33"/>
      <c r="T308" s="33"/>
      <c r="U308" s="33"/>
    </row>
    <row r="309" spans="2:21">
      <c r="B309" s="35"/>
      <c r="C309" s="30"/>
      <c r="D309" s="14"/>
      <c r="E309" s="7"/>
      <c r="F309" s="7"/>
      <c r="G309" s="7"/>
      <c r="H309" s="7"/>
      <c r="I309" s="7"/>
      <c r="J309" s="197"/>
      <c r="K309" s="38"/>
      <c r="L309" s="38"/>
      <c r="M309" s="38"/>
      <c r="N309" s="38"/>
      <c r="O309" s="33"/>
      <c r="P309" s="33"/>
      <c r="Q309" s="33"/>
      <c r="R309" s="33"/>
      <c r="S309" s="33"/>
      <c r="T309" s="33"/>
      <c r="U309" s="33"/>
    </row>
    <row r="310" spans="2:21">
      <c r="B310" s="36" t="s">
        <v>69</v>
      </c>
      <c r="C310" s="32"/>
      <c r="D310" s="14" t="str">
        <f>"Long Term Debt cost rate = Long-Term Interest (ln "&amp;B221&amp;") / Long Term Debt (ln "&amp;B231&amp;").  Preferred Stock cost rate = preferred dividends (ln "&amp;B222&amp;") / preferred outstanding (ln "&amp;B232&amp;")."</f>
        <v>Long Term Debt cost rate = Long-Term Interest (ln 130) / Long Term Debt (ln 139).  Preferred Stock cost rate = preferred dividends (ln 131) / preferred outstanding (ln 140).</v>
      </c>
      <c r="J310" s="491"/>
      <c r="M310" s="38"/>
      <c r="N310" s="38"/>
      <c r="O310" s="33"/>
      <c r="P310" s="33"/>
      <c r="Q310" s="33"/>
      <c r="R310" s="33"/>
      <c r="S310" s="33"/>
      <c r="T310" s="33"/>
      <c r="U310" s="33"/>
    </row>
    <row r="311" spans="2:21">
      <c r="B311" s="37"/>
      <c r="C311" s="5"/>
      <c r="D311" s="14" t="str">
        <f>"Common Stock cost rate (ROE) = "&amp;J233*100&amp;"%, the rate accepted by FERC in Docket No. ER07-1069.  It includes an additional 50 basis points for remaining a member of the SPP RTO."</f>
        <v>Common Stock cost rate (ROE) = 11.2%, the rate accepted by FERC in Docket No. ER07-1069.  It includes an additional 50 basis points for remaining a member of the SPP RTO.</v>
      </c>
      <c r="J311" s="491"/>
      <c r="M311" s="38"/>
      <c r="N311" s="38"/>
      <c r="O311" s="33"/>
      <c r="P311" s="33"/>
      <c r="Q311" s="33"/>
      <c r="R311" s="33"/>
      <c r="S311" s="33"/>
      <c r="T311" s="33"/>
      <c r="U311" s="33"/>
    </row>
    <row r="312" spans="2:21" ht="45" customHeight="1">
      <c r="B312" s="37"/>
      <c r="C312" s="5"/>
      <c r="D312" s="1546" t="s">
        <v>1106</v>
      </c>
      <c r="E312" s="1546"/>
      <c r="F312" s="1546"/>
      <c r="G312" s="1546"/>
      <c r="H312" s="1546"/>
      <c r="I312" s="1546"/>
      <c r="J312" s="1546"/>
      <c r="M312" s="38"/>
      <c r="N312" s="38"/>
      <c r="O312" s="33"/>
      <c r="P312" s="33"/>
      <c r="Q312" s="33"/>
      <c r="R312" s="33"/>
      <c r="S312" s="33"/>
      <c r="T312" s="33"/>
      <c r="U312" s="33"/>
    </row>
    <row r="313" spans="2:21">
      <c r="B313" s="37"/>
      <c r="C313" s="5"/>
      <c r="D313" s="14"/>
      <c r="J313" s="491"/>
      <c r="M313" s="38"/>
      <c r="N313" s="38"/>
      <c r="O313" s="33"/>
      <c r="P313" s="33"/>
      <c r="Q313" s="33"/>
      <c r="R313" s="33"/>
      <c r="S313" s="33"/>
      <c r="T313" s="33"/>
      <c r="U313" s="33"/>
    </row>
    <row r="314" spans="2:21" ht="56.25" customHeight="1">
      <c r="B314" s="664" t="s">
        <v>1207</v>
      </c>
      <c r="C314" s="30"/>
      <c r="D314" s="1537" t="s">
        <v>1284</v>
      </c>
      <c r="E314" s="1537"/>
      <c r="F314" s="1537"/>
      <c r="G314" s="1537"/>
      <c r="H314" s="1537"/>
      <c r="I314" s="1537"/>
      <c r="J314" s="1537"/>
      <c r="M314" s="38"/>
      <c r="N314" s="38"/>
      <c r="O314" s="33"/>
      <c r="P314" s="33"/>
      <c r="Q314" s="33"/>
      <c r="R314" s="33"/>
      <c r="S314" s="33"/>
      <c r="T314" s="33"/>
      <c r="U314" s="33"/>
    </row>
    <row r="315" spans="2:21">
      <c r="B315" s="35"/>
      <c r="C315" s="30"/>
      <c r="M315" s="38"/>
      <c r="N315" s="38"/>
      <c r="O315" s="33"/>
      <c r="P315" s="33"/>
      <c r="Q315" s="33"/>
      <c r="R315" s="33"/>
      <c r="S315" s="33"/>
      <c r="T315" s="33"/>
      <c r="U315" s="33"/>
    </row>
    <row r="316" spans="2:21">
      <c r="B316" s="35"/>
      <c r="C316" s="30"/>
      <c r="M316" s="38"/>
      <c r="N316" s="38"/>
      <c r="O316" s="33"/>
      <c r="P316" s="33"/>
      <c r="Q316" s="33"/>
      <c r="R316" s="33"/>
      <c r="S316" s="33"/>
      <c r="T316" s="33"/>
      <c r="U316" s="33"/>
    </row>
    <row r="317" spans="2:21">
      <c r="B317" s="163"/>
      <c r="C317" s="163"/>
      <c r="D317" s="163"/>
      <c r="E317" s="163"/>
      <c r="F317" s="163"/>
      <c r="G317" s="163"/>
      <c r="H317" s="163"/>
      <c r="M317" s="38"/>
      <c r="N317" s="38"/>
      <c r="O317" s="33"/>
      <c r="P317" s="33"/>
      <c r="Q317" s="33"/>
      <c r="R317" s="33"/>
      <c r="S317" s="33"/>
      <c r="T317" s="33"/>
      <c r="U317" s="33"/>
    </row>
    <row r="318" spans="2:21">
      <c r="B318" s="38"/>
      <c r="C318" s="38"/>
      <c r="D318" s="38"/>
      <c r="E318" s="38"/>
      <c r="F318" s="38"/>
      <c r="G318" s="38"/>
      <c r="H318" s="38"/>
      <c r="M318" s="38"/>
      <c r="N318" s="38"/>
      <c r="O318" s="33"/>
      <c r="P318" s="33"/>
      <c r="Q318" s="33"/>
      <c r="R318" s="33"/>
      <c r="S318" s="33"/>
      <c r="T318" s="33"/>
      <c r="U318" s="33"/>
    </row>
    <row r="319" spans="2:21">
      <c r="B319" s="38"/>
      <c r="C319" s="38"/>
      <c r="D319" s="38"/>
      <c r="E319" s="38"/>
      <c r="F319" s="38"/>
      <c r="G319" s="38"/>
      <c r="H319" s="38"/>
      <c r="M319" s="38"/>
      <c r="N319" s="38"/>
      <c r="O319" s="33"/>
      <c r="P319" s="33"/>
      <c r="Q319" s="33"/>
      <c r="R319" s="33"/>
      <c r="S319" s="33"/>
      <c r="T319" s="33"/>
      <c r="U319" s="33"/>
    </row>
    <row r="320" spans="2:21">
      <c r="B320" s="38"/>
      <c r="C320" s="38"/>
      <c r="D320" s="38"/>
      <c r="E320" s="38"/>
      <c r="F320" s="38"/>
      <c r="G320" s="38"/>
      <c r="H320" s="38"/>
      <c r="M320" s="38"/>
      <c r="N320" s="38"/>
      <c r="O320" s="33"/>
      <c r="P320" s="33"/>
      <c r="Q320" s="33"/>
      <c r="R320" s="33"/>
      <c r="S320" s="33"/>
      <c r="T320" s="33"/>
      <c r="U320" s="33"/>
    </row>
    <row r="321" spans="2:21">
      <c r="B321" s="38"/>
      <c r="C321" s="38"/>
      <c r="D321" s="38"/>
      <c r="E321" s="38"/>
      <c r="F321" s="38"/>
      <c r="G321" s="38"/>
      <c r="H321" s="38"/>
      <c r="M321" s="38"/>
      <c r="N321" s="38"/>
      <c r="O321" s="33"/>
      <c r="P321" s="33"/>
      <c r="Q321" s="33"/>
      <c r="R321" s="33"/>
      <c r="S321" s="33"/>
      <c r="T321" s="33"/>
      <c r="U321" s="33"/>
    </row>
    <row r="322" spans="2:21">
      <c r="B322" s="38"/>
      <c r="C322" s="38"/>
      <c r="D322" s="38"/>
      <c r="E322" s="38"/>
      <c r="F322" s="38"/>
      <c r="G322" s="38"/>
      <c r="H322" s="38"/>
      <c r="M322" s="38"/>
      <c r="N322" s="38"/>
      <c r="O322" s="33"/>
      <c r="P322" s="33"/>
      <c r="Q322" s="33"/>
      <c r="R322" s="33"/>
      <c r="S322" s="33"/>
      <c r="T322" s="33"/>
      <c r="U322" s="33"/>
    </row>
    <row r="323" spans="2:21">
      <c r="B323" s="38"/>
      <c r="C323" s="38"/>
      <c r="D323" s="38"/>
      <c r="E323" s="38"/>
      <c r="F323" s="38"/>
      <c r="G323" s="38"/>
      <c r="H323" s="38"/>
      <c r="M323" s="38"/>
      <c r="N323" s="38"/>
      <c r="O323" s="33"/>
      <c r="P323" s="33"/>
      <c r="Q323" s="33"/>
      <c r="R323" s="33"/>
      <c r="S323" s="33"/>
      <c r="T323" s="33"/>
      <c r="U323" s="33"/>
    </row>
    <row r="324" spans="2:21">
      <c r="B324" s="38"/>
      <c r="C324" s="38"/>
      <c r="D324" s="38"/>
      <c r="E324" s="38"/>
      <c r="F324" s="38"/>
      <c r="G324" s="38"/>
      <c r="H324" s="38"/>
      <c r="M324" s="38"/>
      <c r="N324" s="38"/>
      <c r="O324" s="33"/>
      <c r="P324" s="33"/>
      <c r="Q324" s="33"/>
      <c r="R324" s="33"/>
      <c r="S324" s="33"/>
      <c r="T324" s="33"/>
      <c r="U324" s="33"/>
    </row>
    <row r="325" spans="2:21">
      <c r="B325" s="38"/>
      <c r="C325" s="38"/>
      <c r="D325" s="38"/>
      <c r="E325" s="38"/>
      <c r="F325" s="38"/>
      <c r="G325" s="38"/>
      <c r="H325" s="38"/>
      <c r="M325" s="38"/>
      <c r="N325" s="38"/>
      <c r="O325" s="33"/>
      <c r="P325" s="33"/>
      <c r="Q325" s="33"/>
      <c r="R325" s="33"/>
      <c r="S325" s="33"/>
      <c r="T325" s="33"/>
      <c r="U325" s="33"/>
    </row>
    <row r="326" spans="2:21">
      <c r="B326" s="38"/>
      <c r="C326" s="38"/>
      <c r="D326" s="38"/>
      <c r="E326" s="38"/>
      <c r="F326" s="38"/>
      <c r="G326" s="38"/>
      <c r="H326" s="38"/>
      <c r="M326" s="38"/>
      <c r="N326" s="38"/>
      <c r="O326" s="33"/>
      <c r="P326" s="33"/>
      <c r="Q326" s="33"/>
      <c r="R326" s="33"/>
      <c r="S326" s="33"/>
      <c r="T326" s="33"/>
      <c r="U326" s="33"/>
    </row>
    <row r="327" spans="2:21">
      <c r="B327" s="38"/>
      <c r="C327" s="38"/>
      <c r="D327" s="38"/>
      <c r="E327" s="38"/>
      <c r="F327" s="38"/>
      <c r="G327" s="38"/>
      <c r="H327" s="38"/>
      <c r="M327" s="38"/>
      <c r="N327" s="38"/>
      <c r="O327" s="33"/>
      <c r="P327" s="33"/>
      <c r="Q327" s="33"/>
      <c r="R327" s="33"/>
      <c r="S327" s="33"/>
      <c r="T327" s="33"/>
      <c r="U327" s="33"/>
    </row>
    <row r="328" spans="2:21">
      <c r="B328" s="35"/>
      <c r="C328" s="30"/>
      <c r="M328" s="38"/>
      <c r="N328" s="38"/>
      <c r="O328" s="33"/>
      <c r="P328" s="33"/>
      <c r="Q328" s="33"/>
      <c r="R328" s="33"/>
      <c r="S328" s="33"/>
      <c r="T328" s="33"/>
      <c r="U328" s="33"/>
    </row>
    <row r="329" spans="2:21">
      <c r="B329" s="15"/>
      <c r="M329" s="38"/>
      <c r="N329" s="38"/>
      <c r="O329" s="33"/>
      <c r="P329" s="33"/>
      <c r="Q329" s="33"/>
      <c r="R329" s="33"/>
      <c r="S329" s="33"/>
      <c r="T329" s="33"/>
      <c r="U329" s="33"/>
    </row>
    <row r="330" spans="2:21">
      <c r="B330" s="15"/>
      <c r="M330" s="38"/>
      <c r="N330" s="38"/>
      <c r="O330" s="33"/>
      <c r="P330" s="33"/>
      <c r="Q330" s="33"/>
      <c r="R330" s="33"/>
      <c r="S330" s="33"/>
      <c r="T330" s="33"/>
      <c r="U330" s="33"/>
    </row>
    <row r="331" spans="2:21">
      <c r="B331" s="15"/>
      <c r="M331" s="38"/>
      <c r="N331" s="38"/>
      <c r="O331" s="33"/>
      <c r="P331" s="33"/>
      <c r="Q331" s="33"/>
      <c r="R331" s="33"/>
      <c r="S331" s="33"/>
      <c r="T331" s="33"/>
      <c r="U331" s="33"/>
    </row>
    <row r="332" spans="2:21">
      <c r="B332" s="15"/>
      <c r="H332" s="33"/>
      <c r="I332" s="33"/>
      <c r="J332" s="33"/>
      <c r="K332" s="33"/>
      <c r="L332" s="33"/>
      <c r="M332" s="38"/>
      <c r="N332" s="38"/>
      <c r="O332" s="33"/>
      <c r="P332" s="33"/>
      <c r="Q332" s="33"/>
      <c r="R332" s="33"/>
      <c r="S332" s="33"/>
      <c r="T332" s="33"/>
      <c r="U332" s="33"/>
    </row>
    <row r="333" spans="2:21">
      <c r="B333" s="15"/>
      <c r="H333" s="33"/>
      <c r="K333" s="33"/>
      <c r="L333" s="33"/>
      <c r="M333" s="38"/>
      <c r="N333" s="38"/>
      <c r="O333" s="33"/>
      <c r="P333" s="33"/>
      <c r="Q333" s="33"/>
      <c r="R333" s="33"/>
      <c r="S333" s="33"/>
      <c r="T333" s="33"/>
      <c r="U333" s="33"/>
    </row>
    <row r="334" spans="2:21">
      <c r="B334" s="15"/>
      <c r="H334" s="33"/>
      <c r="I334" s="33"/>
      <c r="J334" s="70"/>
      <c r="K334" s="33"/>
      <c r="L334" s="33"/>
      <c r="M334" s="38"/>
      <c r="N334" s="38"/>
      <c r="O334" s="33"/>
      <c r="P334" s="33"/>
      <c r="Q334" s="33"/>
      <c r="R334" s="33"/>
      <c r="S334" s="33"/>
      <c r="T334" s="33"/>
      <c r="U334" s="33"/>
    </row>
    <row r="335" spans="2:21">
      <c r="B335" s="15"/>
      <c r="H335" s="33"/>
      <c r="I335" s="69"/>
      <c r="J335" s="70"/>
      <c r="K335" s="33"/>
      <c r="L335" s="33"/>
      <c r="M335" s="38"/>
      <c r="N335" s="38"/>
      <c r="O335" s="33"/>
      <c r="P335" s="33"/>
      <c r="Q335" s="33"/>
      <c r="R335" s="33"/>
      <c r="S335" s="33"/>
      <c r="T335" s="33"/>
      <c r="U335" s="33"/>
    </row>
    <row r="336" spans="2:21">
      <c r="B336" s="15"/>
      <c r="H336" s="33"/>
      <c r="I336" s="69"/>
      <c r="J336" s="70"/>
      <c r="K336" s="33"/>
      <c r="L336" s="33"/>
      <c r="M336" s="38"/>
      <c r="N336" s="38"/>
      <c r="O336" s="33"/>
      <c r="P336" s="33"/>
      <c r="Q336" s="33"/>
      <c r="R336" s="33"/>
      <c r="S336" s="33"/>
      <c r="T336" s="33"/>
      <c r="U336" s="33"/>
    </row>
    <row r="337" spans="2:21">
      <c r="B337" s="15"/>
      <c r="H337" s="33"/>
      <c r="I337" s="69"/>
      <c r="J337" s="70"/>
      <c r="K337" s="33"/>
      <c r="L337" s="33"/>
      <c r="M337" s="38"/>
      <c r="N337" s="38"/>
      <c r="O337" s="33"/>
      <c r="P337" s="33"/>
      <c r="Q337" s="33"/>
      <c r="R337" s="33"/>
      <c r="S337" s="33"/>
      <c r="T337" s="33"/>
      <c r="U337" s="33"/>
    </row>
    <row r="338" spans="2:21">
      <c r="B338" s="1"/>
      <c r="C338" s="33"/>
      <c r="D338" s="33"/>
      <c r="E338" s="33"/>
      <c r="F338" s="33"/>
      <c r="G338" s="33"/>
      <c r="H338" s="33"/>
      <c r="I338" s="69"/>
      <c r="J338" s="71"/>
      <c r="K338" s="33"/>
      <c r="L338" s="33"/>
      <c r="M338" s="38"/>
      <c r="N338" s="38"/>
      <c r="O338" s="33"/>
      <c r="P338" s="33"/>
      <c r="Q338" s="33"/>
      <c r="R338" s="33"/>
      <c r="S338" s="33"/>
      <c r="T338" s="33"/>
      <c r="U338" s="33"/>
    </row>
    <row r="339" spans="2:21">
      <c r="B339" s="1"/>
      <c r="C339" s="33"/>
      <c r="D339" s="33"/>
      <c r="E339" s="33"/>
      <c r="F339" s="33"/>
      <c r="G339" s="33"/>
      <c r="H339" s="33"/>
      <c r="I339" s="69"/>
      <c r="J339" s="70"/>
      <c r="K339" s="33"/>
      <c r="L339" s="33"/>
      <c r="M339" s="38"/>
      <c r="N339" s="38"/>
      <c r="O339" s="33"/>
      <c r="P339" s="33"/>
      <c r="Q339" s="33"/>
      <c r="R339" s="33"/>
      <c r="S339" s="33"/>
      <c r="T339" s="33"/>
      <c r="U339" s="33"/>
    </row>
    <row r="340" spans="2:21">
      <c r="B340" s="1"/>
      <c r="C340" s="33"/>
      <c r="D340" s="33"/>
      <c r="E340" s="33"/>
      <c r="F340" s="33"/>
      <c r="G340" s="33"/>
      <c r="H340" s="33"/>
      <c r="I340" s="69"/>
      <c r="J340" s="70"/>
      <c r="K340" s="33"/>
      <c r="L340" s="33"/>
      <c r="M340" s="38"/>
      <c r="N340" s="38"/>
      <c r="O340" s="33"/>
      <c r="P340" s="33"/>
      <c r="Q340" s="33"/>
      <c r="R340" s="33"/>
      <c r="S340" s="33"/>
      <c r="T340" s="33"/>
      <c r="U340" s="33"/>
    </row>
    <row r="341" spans="2:21">
      <c r="I341" s="69"/>
      <c r="J341" s="70"/>
      <c r="M341" s="38"/>
      <c r="N341" s="38"/>
    </row>
    <row r="342" spans="2:21">
      <c r="I342" s="69"/>
      <c r="J342" s="70"/>
      <c r="M342" s="38"/>
      <c r="N342" s="38"/>
    </row>
    <row r="343" spans="2:21">
      <c r="M343" s="38"/>
      <c r="N343" s="38"/>
    </row>
    <row r="344" spans="2:21">
      <c r="M344" s="38"/>
      <c r="N344" s="38"/>
    </row>
    <row r="345" spans="2:21">
      <c r="M345" s="38"/>
      <c r="N345" s="38"/>
    </row>
    <row r="346" spans="2:21">
      <c r="M346" s="38"/>
      <c r="N346" s="38"/>
    </row>
    <row r="347" spans="2:21">
      <c r="M347" s="38"/>
      <c r="N347" s="38"/>
    </row>
    <row r="348" spans="2:21">
      <c r="M348" s="38"/>
      <c r="N348" s="38"/>
    </row>
    <row r="349" spans="2:21">
      <c r="M349" s="38"/>
      <c r="N349" s="38"/>
    </row>
    <row r="350" spans="2:21">
      <c r="M350" s="38"/>
      <c r="N350" s="38"/>
    </row>
    <row r="351" spans="2:21">
      <c r="M351" s="38"/>
      <c r="N351" s="38"/>
    </row>
    <row r="352" spans="2:21">
      <c r="M352" s="38"/>
      <c r="N352" s="38"/>
    </row>
    <row r="353" spans="13:14">
      <c r="M353" s="38"/>
      <c r="N353" s="38"/>
    </row>
    <row r="354" spans="13:14">
      <c r="M354" s="38"/>
      <c r="N354" s="38"/>
    </row>
    <row r="355" spans="13:14">
      <c r="M355" s="38"/>
      <c r="N355" s="38"/>
    </row>
    <row r="356" spans="13:14">
      <c r="M356" s="38"/>
      <c r="N356" s="38"/>
    </row>
    <row r="357" spans="13:14">
      <c r="M357" s="38"/>
      <c r="N357" s="38"/>
    </row>
    <row r="358" spans="13:14">
      <c r="M358" s="38"/>
      <c r="N358" s="38"/>
    </row>
    <row r="359" spans="13:14">
      <c r="M359" s="38"/>
      <c r="N359" s="38"/>
    </row>
    <row r="360" spans="13:14">
      <c r="M360" s="38"/>
      <c r="N360" s="38"/>
    </row>
    <row r="361" spans="13:14">
      <c r="M361" s="38"/>
      <c r="N361" s="38"/>
    </row>
    <row r="362" spans="13:14">
      <c r="M362" s="38"/>
      <c r="N362" s="38"/>
    </row>
    <row r="363" spans="13:14">
      <c r="M363" s="38"/>
      <c r="N363" s="38"/>
    </row>
    <row r="364" spans="13:14">
      <c r="M364" s="38"/>
      <c r="N364" s="38"/>
    </row>
    <row r="365" spans="13:14">
      <c r="M365" s="38"/>
      <c r="N365" s="38"/>
    </row>
    <row r="366" spans="13:14">
      <c r="M366" s="38"/>
      <c r="N366" s="38"/>
    </row>
    <row r="367" spans="13:14">
      <c r="M367" s="38"/>
      <c r="N367" s="38"/>
    </row>
    <row r="368" spans="13:14">
      <c r="M368" s="38"/>
      <c r="N368" s="38"/>
    </row>
    <row r="369" spans="13:14">
      <c r="M369" s="38"/>
      <c r="N369" s="38"/>
    </row>
    <row r="370" spans="13:14">
      <c r="M370" s="38"/>
      <c r="N370" s="38"/>
    </row>
    <row r="371" spans="13:14">
      <c r="M371" s="38"/>
      <c r="N371" s="38"/>
    </row>
    <row r="372" spans="13:14">
      <c r="M372" s="38"/>
      <c r="N372" s="38"/>
    </row>
    <row r="373" spans="13:14">
      <c r="M373" s="38"/>
      <c r="N373" s="38"/>
    </row>
    <row r="374" spans="13:14">
      <c r="M374" s="38"/>
      <c r="N374" s="38"/>
    </row>
    <row r="375" spans="13:14">
      <c r="M375" s="38"/>
      <c r="N375" s="38"/>
    </row>
    <row r="376" spans="13:14">
      <c r="M376" s="38"/>
      <c r="N376" s="38"/>
    </row>
    <row r="377" spans="13:14">
      <c r="M377" s="38"/>
      <c r="N377" s="38"/>
    </row>
    <row r="378" spans="13:14">
      <c r="M378" s="38"/>
      <c r="N378" s="38"/>
    </row>
    <row r="379" spans="13:14">
      <c r="M379" s="38"/>
      <c r="N379" s="38"/>
    </row>
    <row r="380" spans="13:14">
      <c r="M380" s="38"/>
      <c r="N380" s="38"/>
    </row>
    <row r="381" spans="13:14">
      <c r="M381" s="38"/>
      <c r="N381" s="38"/>
    </row>
    <row r="382" spans="13:14">
      <c r="M382" s="38"/>
      <c r="N382" s="38"/>
    </row>
    <row r="383" spans="13:14">
      <c r="M383" s="38"/>
      <c r="N383" s="38"/>
    </row>
    <row r="384" spans="13:14">
      <c r="M384" s="38"/>
      <c r="N384" s="38"/>
    </row>
    <row r="385" spans="13:14">
      <c r="M385" s="38"/>
      <c r="N385" s="38"/>
    </row>
    <row r="386" spans="13:14">
      <c r="M386" s="38"/>
      <c r="N386" s="38"/>
    </row>
    <row r="387" spans="13:14">
      <c r="M387" s="38"/>
      <c r="N387" s="38"/>
    </row>
    <row r="388" spans="13:14">
      <c r="M388" s="38"/>
      <c r="N388" s="38"/>
    </row>
    <row r="389" spans="13:14">
      <c r="M389" s="38"/>
      <c r="N389" s="38"/>
    </row>
    <row r="390" spans="13:14">
      <c r="M390" s="38"/>
      <c r="N390" s="38"/>
    </row>
    <row r="391" spans="13:14">
      <c r="M391" s="38"/>
      <c r="N391" s="38"/>
    </row>
    <row r="392" spans="13:14">
      <c r="M392" s="38"/>
      <c r="N392" s="38"/>
    </row>
    <row r="393" spans="13:14">
      <c r="M393" s="38"/>
      <c r="N393" s="38"/>
    </row>
    <row r="394" spans="13:14">
      <c r="M394" s="38"/>
      <c r="N394" s="38"/>
    </row>
    <row r="395" spans="13:14">
      <c r="M395" s="38"/>
      <c r="N395" s="38"/>
    </row>
    <row r="396" spans="13:14">
      <c r="M396" s="38"/>
      <c r="N396" s="38"/>
    </row>
    <row r="397" spans="13:14">
      <c r="M397" s="38"/>
      <c r="N397" s="38"/>
    </row>
    <row r="398" spans="13:14">
      <c r="M398" s="38"/>
      <c r="N398" s="38"/>
    </row>
    <row r="399" spans="13:14">
      <c r="M399" s="38"/>
      <c r="N399" s="38"/>
    </row>
    <row r="400" spans="13:14">
      <c r="M400" s="38"/>
      <c r="N400" s="38"/>
    </row>
    <row r="401" spans="13:14">
      <c r="M401" s="38"/>
      <c r="N401" s="38"/>
    </row>
    <row r="402" spans="13:14">
      <c r="M402" s="38"/>
      <c r="N402" s="38"/>
    </row>
    <row r="403" spans="13:14">
      <c r="M403" s="38"/>
      <c r="N403" s="38"/>
    </row>
    <row r="404" spans="13:14">
      <c r="M404" s="38"/>
      <c r="N404" s="38"/>
    </row>
    <row r="405" spans="13:14">
      <c r="M405" s="38"/>
      <c r="N405" s="38"/>
    </row>
    <row r="406" spans="13:14">
      <c r="M406" s="38"/>
      <c r="N406" s="38"/>
    </row>
    <row r="407" spans="13:14">
      <c r="M407" s="38"/>
      <c r="N407" s="38"/>
    </row>
    <row r="408" spans="13:14">
      <c r="M408" s="38"/>
      <c r="N408" s="38"/>
    </row>
    <row r="409" spans="13:14">
      <c r="M409" s="38"/>
      <c r="N409" s="38"/>
    </row>
    <row r="410" spans="13:14">
      <c r="M410" s="38"/>
      <c r="N410" s="38"/>
    </row>
    <row r="411" spans="13:14">
      <c r="M411" s="38"/>
      <c r="N411" s="38"/>
    </row>
    <row r="412" spans="13:14">
      <c r="M412" s="38"/>
      <c r="N412" s="38"/>
    </row>
    <row r="413" spans="13:14">
      <c r="M413" s="38"/>
      <c r="N413" s="38"/>
    </row>
    <row r="414" spans="13:14">
      <c r="M414" s="38"/>
      <c r="N414" s="38"/>
    </row>
    <row r="415" spans="13:14">
      <c r="M415" s="38"/>
      <c r="N415" s="38"/>
    </row>
    <row r="416" spans="13:14">
      <c r="M416" s="38"/>
      <c r="N416" s="38"/>
    </row>
    <row r="417" spans="13:14">
      <c r="M417" s="38"/>
      <c r="N417" s="38"/>
    </row>
    <row r="418" spans="13:14">
      <c r="M418" s="38"/>
      <c r="N418" s="38"/>
    </row>
    <row r="419" spans="13:14">
      <c r="M419" s="38"/>
      <c r="N419" s="38"/>
    </row>
    <row r="420" spans="13:14">
      <c r="M420" s="38"/>
      <c r="N420" s="38"/>
    </row>
    <row r="421" spans="13:14">
      <c r="M421" s="38"/>
      <c r="N421" s="38"/>
    </row>
    <row r="422" spans="13:14">
      <c r="M422" s="38"/>
      <c r="N422" s="38"/>
    </row>
    <row r="423" spans="13:14">
      <c r="M423" s="38"/>
      <c r="N423" s="38"/>
    </row>
    <row r="424" spans="13:14">
      <c r="M424" s="38"/>
      <c r="N424" s="38"/>
    </row>
    <row r="425" spans="13:14">
      <c r="M425" s="38"/>
      <c r="N425" s="38"/>
    </row>
    <row r="426" spans="13:14">
      <c r="M426" s="38"/>
      <c r="N426" s="38"/>
    </row>
    <row r="427" spans="13:14">
      <c r="M427" s="38"/>
      <c r="N427" s="38"/>
    </row>
    <row r="428" spans="13:14">
      <c r="M428" s="38"/>
      <c r="N428" s="38"/>
    </row>
    <row r="429" spans="13:14">
      <c r="M429" s="38"/>
      <c r="N429" s="38"/>
    </row>
    <row r="430" spans="13:14">
      <c r="M430" s="38"/>
      <c r="N430" s="38"/>
    </row>
    <row r="431" spans="13:14">
      <c r="M431" s="38"/>
      <c r="N431" s="38"/>
    </row>
    <row r="432" spans="13:14">
      <c r="M432" s="38"/>
      <c r="N432" s="38"/>
    </row>
    <row r="433" spans="13:14">
      <c r="M433" s="38"/>
      <c r="N433" s="38"/>
    </row>
    <row r="434" spans="13:14">
      <c r="M434" s="38"/>
      <c r="N434" s="38"/>
    </row>
    <row r="435" spans="13:14">
      <c r="M435" s="38"/>
      <c r="N435" s="38"/>
    </row>
    <row r="436" spans="13:14">
      <c r="M436" s="38"/>
      <c r="N436" s="38"/>
    </row>
    <row r="437" spans="13:14">
      <c r="M437" s="38"/>
      <c r="N437" s="38"/>
    </row>
    <row r="438" spans="13:14">
      <c r="M438" s="38"/>
      <c r="N438" s="38"/>
    </row>
    <row r="439" spans="13:14">
      <c r="M439" s="38"/>
      <c r="N439" s="38"/>
    </row>
    <row r="440" spans="13:14">
      <c r="M440" s="38"/>
      <c r="N440" s="38"/>
    </row>
    <row r="441" spans="13:14">
      <c r="M441" s="38"/>
      <c r="N441" s="38"/>
    </row>
    <row r="442" spans="13:14">
      <c r="M442" s="38"/>
      <c r="N442" s="38"/>
    </row>
    <row r="443" spans="13:14">
      <c r="M443" s="38"/>
      <c r="N443" s="38"/>
    </row>
    <row r="444" spans="13:14">
      <c r="M444" s="38"/>
      <c r="N444" s="38"/>
    </row>
    <row r="445" spans="13:14">
      <c r="M445" s="38"/>
      <c r="N445" s="38"/>
    </row>
    <row r="446" spans="13:14">
      <c r="M446" s="38"/>
      <c r="N446" s="38"/>
    </row>
    <row r="447" spans="13:14">
      <c r="M447" s="38"/>
      <c r="N447" s="38"/>
    </row>
    <row r="448" spans="13:14">
      <c r="M448" s="38"/>
      <c r="N448" s="38"/>
    </row>
    <row r="449" spans="13:14">
      <c r="M449" s="38"/>
      <c r="N449" s="38"/>
    </row>
    <row r="450" spans="13:14">
      <c r="M450" s="38"/>
      <c r="N450" s="38"/>
    </row>
    <row r="451" spans="13:14">
      <c r="M451" s="38"/>
      <c r="N451" s="38"/>
    </row>
    <row r="452" spans="13:14">
      <c r="M452" s="38"/>
      <c r="N452" s="38"/>
    </row>
    <row r="453" spans="13:14">
      <c r="M453" s="38"/>
      <c r="N453" s="38"/>
    </row>
    <row r="454" spans="13:14">
      <c r="M454" s="38"/>
      <c r="N454" s="38"/>
    </row>
    <row r="455" spans="13:14">
      <c r="M455" s="38"/>
      <c r="N455" s="38"/>
    </row>
    <row r="456" spans="13:14">
      <c r="M456" s="38"/>
      <c r="N456" s="38"/>
    </row>
    <row r="457" spans="13:14">
      <c r="M457" s="38"/>
      <c r="N457" s="38"/>
    </row>
    <row r="458" spans="13:14">
      <c r="M458" s="38"/>
      <c r="N458" s="38"/>
    </row>
    <row r="459" spans="13:14">
      <c r="M459" s="38"/>
      <c r="N459" s="38"/>
    </row>
    <row r="460" spans="13:14">
      <c r="M460" s="38"/>
      <c r="N460" s="38"/>
    </row>
    <row r="461" spans="13:14">
      <c r="M461" s="38"/>
      <c r="N461" s="38"/>
    </row>
    <row r="462" spans="13:14">
      <c r="M462" s="38"/>
      <c r="N462" s="38"/>
    </row>
    <row r="463" spans="13:14">
      <c r="M463" s="38"/>
      <c r="N463" s="38"/>
    </row>
    <row r="464" spans="13:14">
      <c r="M464" s="38"/>
      <c r="N464" s="38"/>
    </row>
    <row r="465" spans="13:14">
      <c r="M465" s="38"/>
      <c r="N465" s="38"/>
    </row>
    <row r="466" spans="13:14">
      <c r="M466" s="38"/>
      <c r="N466" s="38"/>
    </row>
    <row r="467" spans="13:14">
      <c r="M467" s="38"/>
      <c r="N467" s="38"/>
    </row>
    <row r="468" spans="13:14">
      <c r="M468" s="38"/>
      <c r="N468" s="38"/>
    </row>
    <row r="469" spans="13:14">
      <c r="M469" s="38"/>
      <c r="N469" s="38"/>
    </row>
    <row r="470" spans="13:14">
      <c r="M470" s="38"/>
      <c r="N470" s="38"/>
    </row>
    <row r="471" spans="13:14">
      <c r="M471" s="38"/>
      <c r="N471" s="38"/>
    </row>
    <row r="472" spans="13:14">
      <c r="M472" s="38"/>
      <c r="N472" s="38"/>
    </row>
    <row r="473" spans="13:14">
      <c r="M473" s="38"/>
      <c r="N473" s="38"/>
    </row>
    <row r="474" spans="13:14">
      <c r="M474" s="38"/>
      <c r="N474" s="38"/>
    </row>
    <row r="475" spans="13:14">
      <c r="M475" s="38"/>
      <c r="N475" s="38"/>
    </row>
    <row r="476" spans="13:14">
      <c r="M476" s="38"/>
      <c r="N476" s="38"/>
    </row>
    <row r="477" spans="13:14">
      <c r="M477" s="38"/>
      <c r="N477" s="38"/>
    </row>
    <row r="478" spans="13:14">
      <c r="M478" s="38"/>
      <c r="N478" s="38"/>
    </row>
    <row r="479" spans="13:14">
      <c r="M479" s="38"/>
      <c r="N479" s="38"/>
    </row>
    <row r="480" spans="13:14">
      <c r="M480" s="38"/>
      <c r="N480" s="38"/>
    </row>
    <row r="481" spans="13:14">
      <c r="M481" s="38"/>
      <c r="N481" s="38"/>
    </row>
    <row r="482" spans="13:14">
      <c r="M482" s="38"/>
      <c r="N482" s="38"/>
    </row>
    <row r="483" spans="13:14">
      <c r="M483" s="38"/>
      <c r="N483" s="38"/>
    </row>
    <row r="484" spans="13:14">
      <c r="M484" s="38"/>
      <c r="N484" s="38"/>
    </row>
    <row r="485" spans="13:14">
      <c r="M485" s="38"/>
      <c r="N485" s="38"/>
    </row>
    <row r="486" spans="13:14">
      <c r="M486" s="38"/>
      <c r="N486" s="38"/>
    </row>
    <row r="487" spans="13:14">
      <c r="M487" s="38"/>
      <c r="N487" s="38"/>
    </row>
    <row r="488" spans="13:14">
      <c r="M488" s="38"/>
      <c r="N488" s="38"/>
    </row>
    <row r="489" spans="13:14">
      <c r="M489" s="38"/>
      <c r="N489" s="38"/>
    </row>
    <row r="490" spans="13:14">
      <c r="M490" s="38"/>
      <c r="N490" s="38"/>
    </row>
    <row r="491" spans="13:14">
      <c r="M491" s="38"/>
      <c r="N491" s="38"/>
    </row>
    <row r="492" spans="13:14">
      <c r="M492" s="38"/>
      <c r="N492" s="38"/>
    </row>
    <row r="493" spans="13:14">
      <c r="M493" s="38"/>
      <c r="N493" s="38"/>
    </row>
    <row r="494" spans="13:14">
      <c r="M494" s="38"/>
      <c r="N494" s="38"/>
    </row>
    <row r="495" spans="13:14">
      <c r="M495" s="38"/>
      <c r="N495" s="38"/>
    </row>
    <row r="496" spans="13:14">
      <c r="M496" s="38"/>
      <c r="N496" s="38"/>
    </row>
    <row r="497" spans="13:14">
      <c r="M497" s="38"/>
      <c r="N497" s="38"/>
    </row>
    <row r="498" spans="13:14">
      <c r="M498" s="38"/>
      <c r="N498" s="38"/>
    </row>
    <row r="712" spans="5:5">
      <c r="E712" s="15">
        <v>0</v>
      </c>
    </row>
  </sheetData>
  <mergeCells count="14">
    <mergeCell ref="D314:J314"/>
    <mergeCell ref="B19:I20"/>
    <mergeCell ref="I122:J122"/>
    <mergeCell ref="I47:J47"/>
    <mergeCell ref="I50:J50"/>
    <mergeCell ref="I119:J119"/>
    <mergeCell ref="D304:J304"/>
    <mergeCell ref="D298:J298"/>
    <mergeCell ref="D287:J287"/>
    <mergeCell ref="D285:J285"/>
    <mergeCell ref="D312:J312"/>
    <mergeCell ref="D22:E23"/>
    <mergeCell ref="D258:J259"/>
    <mergeCell ref="D274:J274"/>
  </mergeCells>
  <phoneticPr fontId="0" type="noConversion"/>
  <printOptions horizontalCentered="1"/>
  <pageMargins left="0.25" right="0.25" top="1" bottom="1" header="0.65" footer="0.25"/>
  <pageSetup scale="42" fitToHeight="0" orientation="portrait" r:id="rId1"/>
  <headerFooter alignWithMargins="0">
    <oddHeader xml:space="preserve">&amp;R&amp;16AEP - SPP Formula Rate
TCOS
Page: &amp;P of &amp;N
</oddHeader>
    <oddFooter xml:space="preserve">&amp;R &amp;C </oddFooter>
  </headerFooter>
  <rowBreaks count="4" manualBreakCount="4">
    <brk id="38" max="11" man="1"/>
    <brk id="111" max="11" man="1"/>
    <brk id="190" max="11" man="1"/>
    <brk id="235" max="11"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112"/>
  <sheetViews>
    <sheetView topLeftCell="A69" zoomScale="70" zoomScaleNormal="70" zoomScaleSheetLayoutView="80" zoomScalePageLayoutView="90" workbookViewId="0">
      <selection activeCell="O34" sqref="O34"/>
    </sheetView>
  </sheetViews>
  <sheetFormatPr defaultColWidth="11.42578125" defaultRowHeight="12.75"/>
  <cols>
    <col min="1" max="1" width="9" style="97" customWidth="1"/>
    <col min="2" max="2" width="4.28515625" style="93" customWidth="1"/>
    <col min="3" max="3" width="73.5703125" style="93" customWidth="1"/>
    <col min="4" max="4" width="54" style="93" customWidth="1"/>
    <col min="5" max="5" width="18.5703125" style="93" customWidth="1"/>
    <col min="6" max="6" width="20" style="93" bestFit="1" customWidth="1"/>
    <col min="7" max="7" width="18.28515625" style="93" customWidth="1"/>
    <col min="8" max="8" width="17" style="93" customWidth="1"/>
    <col min="9" max="9" width="16" style="93" customWidth="1"/>
    <col min="10" max="10" width="16.7109375" style="93" customWidth="1"/>
    <col min="11" max="11" width="13.7109375" style="93" customWidth="1"/>
    <col min="12" max="12" width="11.5703125" style="93" customWidth="1"/>
    <col min="13" max="14" width="13.42578125" style="93" customWidth="1"/>
    <col min="15" max="15" width="13.7109375" style="93" customWidth="1"/>
    <col min="16" max="16384" width="11.42578125" style="93"/>
  </cols>
  <sheetData>
    <row r="1" spans="1:21" ht="15">
      <c r="A1" s="1553" t="str">
        <f>'PSO TCOS'!F3</f>
        <v xml:space="preserve">AEP West SPP Member Operating Companies </v>
      </c>
      <c r="B1" s="1553"/>
      <c r="C1" s="1553"/>
      <c r="D1" s="1553"/>
      <c r="E1" s="1553"/>
      <c r="F1" s="1553"/>
      <c r="G1" s="1553"/>
      <c r="H1" s="324"/>
      <c r="I1" s="38"/>
      <c r="J1" s="38"/>
    </row>
    <row r="2" spans="1:21" ht="15">
      <c r="A2" s="1553" t="str">
        <f>"Actual / Projected "&amp;'PSO TCOS'!$N$1&amp;" Rate Year Cost of Service Formula Rate "</f>
        <v xml:space="preserve">Actual / Projected 2019 Rate Year Cost of Service Formula Rate </v>
      </c>
      <c r="B2" s="1553"/>
      <c r="C2" s="1553"/>
      <c r="D2" s="1553"/>
      <c r="E2" s="1553"/>
      <c r="F2" s="1553"/>
      <c r="G2" s="1553"/>
      <c r="H2" s="341"/>
    </row>
    <row r="3" spans="1:21" ht="15.75">
      <c r="A3" s="1554" t="s">
        <v>1128</v>
      </c>
      <c r="B3" s="1553"/>
      <c r="C3" s="1553"/>
      <c r="D3" s="1553"/>
      <c r="E3" s="1553"/>
      <c r="F3" s="1553"/>
      <c r="G3" s="1553"/>
      <c r="H3" s="384"/>
    </row>
    <row r="4" spans="1:21" ht="15.75">
      <c r="A4" s="1555" t="str">
        <f>+'PSO TCOS'!$F$7</f>
        <v>PUBLIC SERVICE COMPANY OF OKLAHOMA</v>
      </c>
      <c r="B4" s="1554"/>
      <c r="C4" s="1554"/>
      <c r="D4" s="1554"/>
      <c r="E4" s="1554"/>
      <c r="F4" s="1554"/>
      <c r="G4" s="1554"/>
      <c r="H4" s="460"/>
    </row>
    <row r="5" spans="1:21" ht="15">
      <c r="A5" s="460"/>
      <c r="B5" s="460"/>
      <c r="C5" s="460"/>
      <c r="E5" s="461"/>
      <c r="F5" s="461"/>
      <c r="G5" s="461"/>
      <c r="H5" s="461"/>
      <c r="I5" s="461"/>
    </row>
    <row r="6" spans="1:21">
      <c r="C6" s="107" t="s">
        <v>338</v>
      </c>
      <c r="D6" s="107" t="s">
        <v>339</v>
      </c>
      <c r="E6" s="107" t="s">
        <v>340</v>
      </c>
      <c r="F6" s="107" t="s">
        <v>341</v>
      </c>
      <c r="G6" s="107" t="s">
        <v>266</v>
      </c>
      <c r="H6" s="107"/>
      <c r="I6" s="107"/>
    </row>
    <row r="7" spans="1:21">
      <c r="A7" s="44" t="s">
        <v>345</v>
      </c>
      <c r="C7" s="107"/>
      <c r="D7" s="107"/>
      <c r="E7" s="178" t="s">
        <v>27</v>
      </c>
      <c r="F7" s="178" t="s">
        <v>74</v>
      </c>
      <c r="G7" s="1551" t="str">
        <f>"Average Balance for "&amp;'PSO TCOS'!$N$1&amp;""</f>
        <v>Average Balance for 2019</v>
      </c>
      <c r="H7" s="107"/>
      <c r="I7" s="107"/>
    </row>
    <row r="8" spans="1:21">
      <c r="A8" s="44" t="s">
        <v>283</v>
      </c>
      <c r="C8" s="178" t="s">
        <v>240</v>
      </c>
      <c r="D8" s="178" t="s">
        <v>239</v>
      </c>
      <c r="E8" s="909" t="str">
        <f>"12/31/"&amp;'PSO TCOS'!$N$1&amp;""</f>
        <v>12/31/2019</v>
      </c>
      <c r="F8" s="909" t="str">
        <f>"12/31/"&amp;'PSO TCOS'!$N$1-1&amp;""</f>
        <v>12/31/2018</v>
      </c>
      <c r="G8" s="1552"/>
      <c r="H8" s="178"/>
      <c r="I8" s="178"/>
      <c r="K8" s="38"/>
      <c r="L8" s="38"/>
      <c r="M8" s="38"/>
      <c r="N8" s="38"/>
    </row>
    <row r="9" spans="1:21">
      <c r="A9" s="40"/>
      <c r="B9" s="40"/>
      <c r="C9" s="40"/>
      <c r="D9" s="40"/>
      <c r="F9" s="365"/>
      <c r="G9" s="87"/>
      <c r="H9" s="87"/>
      <c r="I9" s="40"/>
      <c r="J9" s="87"/>
      <c r="K9" s="38"/>
      <c r="L9" s="38"/>
      <c r="M9" s="38"/>
      <c r="N9" s="38"/>
    </row>
    <row r="10" spans="1:21">
      <c r="A10" s="138" t="s">
        <v>1283</v>
      </c>
      <c r="B10" s="40"/>
      <c r="C10" s="40"/>
      <c r="D10" s="40"/>
      <c r="F10" s="365"/>
      <c r="G10" s="87"/>
      <c r="H10" s="87"/>
      <c r="I10" s="40"/>
      <c r="J10" s="87"/>
      <c r="K10" s="38"/>
      <c r="L10" s="38"/>
      <c r="M10" s="38"/>
      <c r="N10" s="38"/>
    </row>
    <row r="11" spans="1:21" ht="32.25" customHeight="1">
      <c r="A11" s="1550" t="str">
        <f>"See Note "&amp;'PSO TCOS'!B314&amp;" at the TCOS worksheet for a description of Transmission Serving Generation."</f>
        <v>See Note U at the TCOS worksheet for a description of Transmission Serving Generation.</v>
      </c>
      <c r="B11" s="1550"/>
      <c r="C11" s="1550"/>
      <c r="D11" s="1550"/>
      <c r="E11" s="1550"/>
      <c r="F11" s="1550"/>
      <c r="G11" s="1550"/>
      <c r="H11" s="87"/>
      <c r="I11" s="40"/>
      <c r="J11" s="87"/>
      <c r="K11" s="38"/>
      <c r="L11" s="38"/>
      <c r="M11" s="38"/>
      <c r="N11" s="38"/>
    </row>
    <row r="12" spans="1:21">
      <c r="A12" s="40"/>
      <c r="B12" s="40"/>
      <c r="C12" s="40"/>
      <c r="D12" s="865"/>
      <c r="E12" s="865"/>
      <c r="F12" s="865"/>
      <c r="G12" s="87"/>
      <c r="H12" s="87"/>
      <c r="I12" s="40"/>
      <c r="J12" s="87"/>
      <c r="K12" s="38"/>
      <c r="L12" s="38"/>
      <c r="M12" s="38"/>
      <c r="N12" s="38"/>
    </row>
    <row r="13" spans="1:21">
      <c r="A13" s="110" t="s">
        <v>88</v>
      </c>
      <c r="B13" s="40"/>
      <c r="C13" s="40"/>
      <c r="D13" s="865"/>
      <c r="E13" s="865"/>
      <c r="F13" s="865"/>
      <c r="G13" s="87"/>
      <c r="H13" s="87"/>
      <c r="I13" s="40"/>
      <c r="J13" s="87"/>
      <c r="K13" s="38"/>
      <c r="L13" s="38"/>
      <c r="M13" s="38"/>
      <c r="N13" s="38"/>
    </row>
    <row r="14" spans="1:21" ht="5.25" customHeight="1">
      <c r="B14" s="84"/>
      <c r="C14" s="110"/>
      <c r="D14" s="89"/>
      <c r="E14" s="38"/>
      <c r="I14" s="38"/>
      <c r="J14" s="366"/>
      <c r="K14" s="38"/>
      <c r="L14" s="38"/>
      <c r="M14" s="38"/>
      <c r="N14" s="38"/>
      <c r="O14" s="366"/>
      <c r="P14" s="366"/>
      <c r="Q14" s="366"/>
      <c r="R14" s="366"/>
      <c r="S14" s="366"/>
      <c r="T14" s="366"/>
      <c r="U14" s="366"/>
    </row>
    <row r="15" spans="1:21">
      <c r="A15" s="97">
        <v>1</v>
      </c>
      <c r="B15" s="91"/>
      <c r="C15" s="111" t="s">
        <v>389</v>
      </c>
      <c r="D15" s="88" t="s">
        <v>77</v>
      </c>
      <c r="E15" s="869">
        <f>+'[4]Inputs 2019'!E79</f>
        <v>1564413288.30618</v>
      </c>
      <c r="F15" s="869">
        <f>+'[4]Inputs 2019'!F79</f>
        <v>1546953853.0122299</v>
      </c>
      <c r="G15" s="171">
        <f>IF(F15="",0,(E15+F15)/2)</f>
        <v>1555683570.659205</v>
      </c>
      <c r="H15" s="98"/>
      <c r="I15" s="91"/>
      <c r="J15" s="97"/>
      <c r="K15" s="87"/>
      <c r="L15" s="87"/>
      <c r="M15" s="87"/>
      <c r="N15" s="87"/>
    </row>
    <row r="16" spans="1:21">
      <c r="A16" s="97">
        <f>+A15+1</f>
        <v>2</v>
      </c>
      <c r="B16" s="91"/>
      <c r="C16" s="86" t="s">
        <v>1197</v>
      </c>
      <c r="D16" s="88" t="s">
        <v>1198</v>
      </c>
      <c r="E16" s="869"/>
      <c r="F16" s="869"/>
      <c r="G16" s="171">
        <f>IF(F16="",0,(E16+F16)/2)</f>
        <v>0</v>
      </c>
      <c r="H16" s="98"/>
      <c r="I16" s="91"/>
      <c r="J16" s="97"/>
      <c r="K16" s="87"/>
      <c r="L16" s="87"/>
      <c r="M16" s="87"/>
      <c r="N16" s="87"/>
    </row>
    <row r="17" spans="1:14">
      <c r="A17" s="97">
        <f>+A16+1</f>
        <v>3</v>
      </c>
      <c r="B17" s="91"/>
      <c r="C17" s="86" t="s">
        <v>1199</v>
      </c>
      <c r="D17" s="88"/>
      <c r="E17" s="1075">
        <f>+E15+E16</f>
        <v>1564413288.30618</v>
      </c>
      <c r="F17" s="1075">
        <f>+F15+F16</f>
        <v>1546953853.0122299</v>
      </c>
      <c r="G17" s="171">
        <f>IF(F17="",0,(E17+F17)/2)</f>
        <v>1555683570.659205</v>
      </c>
      <c r="H17" s="98"/>
      <c r="I17" s="91"/>
      <c r="J17" s="97"/>
      <c r="K17" s="87"/>
      <c r="L17" s="87"/>
      <c r="M17" s="87"/>
      <c r="N17" s="87"/>
    </row>
    <row r="18" spans="1:14">
      <c r="B18" s="91"/>
      <c r="C18" s="86"/>
      <c r="D18" s="88"/>
      <c r="E18" s="85"/>
      <c r="F18" s="85"/>
      <c r="G18" s="98"/>
      <c r="H18" s="98"/>
      <c r="I18" s="91"/>
      <c r="J18" s="97"/>
      <c r="K18" s="87"/>
      <c r="L18" s="87"/>
      <c r="M18" s="87"/>
      <c r="N18" s="87"/>
    </row>
    <row r="19" spans="1:14">
      <c r="A19" s="97">
        <f>+A17+1</f>
        <v>4</v>
      </c>
      <c r="B19" s="91"/>
      <c r="C19" s="86" t="s">
        <v>205</v>
      </c>
      <c r="D19" s="88" t="s">
        <v>85</v>
      </c>
      <c r="E19" s="869">
        <f>+'[4]Inputs 2019'!E81</f>
        <v>36352139</v>
      </c>
      <c r="F19" s="869">
        <f>+'[4]Inputs 2019'!F81</f>
        <v>36352139</v>
      </c>
      <c r="G19" s="171">
        <f>IF(F19="",0,(E19+F19)/2)</f>
        <v>36352139</v>
      </c>
      <c r="H19" s="98"/>
      <c r="I19" s="91"/>
      <c r="J19" s="97"/>
      <c r="K19" s="87"/>
      <c r="L19" s="87"/>
      <c r="M19" s="87"/>
      <c r="N19" s="87"/>
    </row>
    <row r="20" spans="1:14">
      <c r="A20" s="97">
        <f>+A19+1</f>
        <v>5</v>
      </c>
      <c r="B20" s="91"/>
      <c r="C20" s="86" t="s">
        <v>1203</v>
      </c>
      <c r="D20" s="88" t="s">
        <v>1198</v>
      </c>
      <c r="E20" s="869"/>
      <c r="F20" s="869"/>
      <c r="G20" s="171">
        <f>IF(F20="",0,(E20+F20)/2)</f>
        <v>0</v>
      </c>
      <c r="H20" s="98"/>
      <c r="I20" s="91"/>
      <c r="J20" s="97"/>
      <c r="K20" s="87"/>
      <c r="L20" s="87"/>
      <c r="M20" s="87"/>
      <c r="N20" s="87"/>
    </row>
    <row r="21" spans="1:14">
      <c r="A21" s="97">
        <f>+A20+1</f>
        <v>6</v>
      </c>
      <c r="B21" s="91"/>
      <c r="C21" s="86" t="s">
        <v>1204</v>
      </c>
      <c r="D21" s="88"/>
      <c r="E21" s="1075">
        <f>+E19+E20</f>
        <v>36352139</v>
      </c>
      <c r="F21" s="1075">
        <f>+F19+F20</f>
        <v>36352139</v>
      </c>
      <c r="G21" s="171">
        <f>IF(F21="",0,(E21+F21)/2)</f>
        <v>36352139</v>
      </c>
      <c r="H21" s="98"/>
      <c r="I21" s="91"/>
      <c r="J21" s="97"/>
      <c r="K21" s="87"/>
      <c r="L21" s="87"/>
      <c r="M21" s="87"/>
      <c r="N21" s="87"/>
    </row>
    <row r="22" spans="1:14">
      <c r="A22" s="38"/>
      <c r="B22" s="38"/>
      <c r="C22" s="38"/>
      <c r="E22" s="857"/>
      <c r="F22" s="857"/>
      <c r="G22" s="38"/>
      <c r="H22" s="38"/>
      <c r="I22" s="38"/>
      <c r="J22" s="38"/>
      <c r="K22" s="38"/>
      <c r="L22" s="38"/>
      <c r="M22" s="87"/>
      <c r="N22" s="87"/>
    </row>
    <row r="23" spans="1:14">
      <c r="A23" s="97">
        <f>+A21+1</f>
        <v>7</v>
      </c>
      <c r="C23" s="111" t="s">
        <v>385</v>
      </c>
      <c r="D23" s="88" t="s">
        <v>78</v>
      </c>
      <c r="E23" s="869">
        <f>+'[4]Inputs 2019'!E83</f>
        <v>946288588.49154496</v>
      </c>
      <c r="F23" s="869">
        <f>+'[4]Inputs 2019'!F83</f>
        <v>907181078.47208798</v>
      </c>
      <c r="G23" s="171">
        <f>IF(F23="",0,(E23+F23)/2)</f>
        <v>926734833.48181653</v>
      </c>
      <c r="H23" s="38"/>
      <c r="I23" s="91"/>
      <c r="J23" s="97"/>
      <c r="K23" s="87"/>
      <c r="L23" s="87"/>
      <c r="M23" s="87"/>
      <c r="N23" s="87"/>
    </row>
    <row r="24" spans="1:14">
      <c r="A24" s="97">
        <f>+A23+1</f>
        <v>8</v>
      </c>
      <c r="C24" s="86" t="s">
        <v>1200</v>
      </c>
      <c r="D24" s="88" t="s">
        <v>1198</v>
      </c>
      <c r="E24" s="869"/>
      <c r="F24" s="869"/>
      <c r="G24" s="171">
        <f>IF(F24="",0,(E24+F24)/2)</f>
        <v>0</v>
      </c>
      <c r="H24" s="38"/>
      <c r="I24" s="91"/>
      <c r="J24" s="97"/>
      <c r="K24" s="87"/>
      <c r="L24" s="87"/>
      <c r="M24" s="87"/>
      <c r="N24" s="87"/>
    </row>
    <row r="25" spans="1:14">
      <c r="A25" s="97">
        <f>+A24+1</f>
        <v>9</v>
      </c>
      <c r="C25" s="86" t="s">
        <v>1201</v>
      </c>
      <c r="D25" s="88"/>
      <c r="E25" s="1076">
        <f>+E23+E24</f>
        <v>946288588.49154496</v>
      </c>
      <c r="F25" s="1076">
        <f>+F23+F24</f>
        <v>907181078.47208798</v>
      </c>
      <c r="G25" s="171">
        <f>IF(F25="",0,(E25+F25)/2)</f>
        <v>926734833.48181653</v>
      </c>
      <c r="H25" s="38"/>
      <c r="I25" s="91"/>
      <c r="J25" s="97"/>
      <c r="K25" s="87"/>
      <c r="L25" s="87"/>
      <c r="M25" s="87"/>
      <c r="N25" s="87"/>
    </row>
    <row r="26" spans="1:14">
      <c r="B26" s="89"/>
      <c r="E26" s="857"/>
      <c r="F26" s="857"/>
      <c r="G26" s="92"/>
      <c r="H26" s="92"/>
      <c r="I26" s="91"/>
      <c r="J26" s="97"/>
      <c r="K26" s="87"/>
      <c r="L26" s="87"/>
      <c r="M26" s="87"/>
      <c r="N26" s="87"/>
    </row>
    <row r="27" spans="1:14">
      <c r="A27" s="97">
        <f>+A25+1</f>
        <v>10</v>
      </c>
      <c r="B27" s="89"/>
      <c r="C27" s="86" t="s">
        <v>1129</v>
      </c>
      <c r="D27" s="88" t="s">
        <v>79</v>
      </c>
      <c r="E27" s="869"/>
      <c r="F27" s="869"/>
      <c r="G27" s="171">
        <f>IF(F27="",0,(E27+F27)/2)</f>
        <v>0</v>
      </c>
      <c r="H27" s="92"/>
      <c r="I27" s="91"/>
      <c r="J27" s="97"/>
      <c r="K27" s="87"/>
      <c r="L27" s="87"/>
      <c r="M27" s="87"/>
      <c r="N27" s="87"/>
    </row>
    <row r="28" spans="1:14">
      <c r="A28" s="97">
        <f>+A27+1</f>
        <v>11</v>
      </c>
      <c r="B28" s="89"/>
      <c r="C28" s="86" t="s">
        <v>1202</v>
      </c>
      <c r="D28" s="88" t="s">
        <v>1198</v>
      </c>
      <c r="E28" s="869"/>
      <c r="F28" s="869"/>
      <c r="G28" s="171">
        <f>IF(F28="",0,(E28+F28)/2)</f>
        <v>0</v>
      </c>
      <c r="H28" s="92"/>
      <c r="I28" s="91"/>
      <c r="J28" s="97"/>
      <c r="K28" s="87"/>
      <c r="L28" s="87"/>
      <c r="M28" s="87"/>
      <c r="N28" s="87"/>
    </row>
    <row r="29" spans="1:14">
      <c r="A29" s="97">
        <f>+A28+1</f>
        <v>12</v>
      </c>
      <c r="B29" s="89"/>
      <c r="C29" s="86" t="s">
        <v>1205</v>
      </c>
      <c r="D29" s="88"/>
      <c r="E29" s="1075">
        <f>+E27+E28</f>
        <v>0</v>
      </c>
      <c r="F29" s="1075">
        <f>+F27+F28</f>
        <v>0</v>
      </c>
      <c r="G29" s="171">
        <f>IF(F29="",0,(E29+F29)/2)</f>
        <v>0</v>
      </c>
      <c r="H29" s="92"/>
      <c r="I29" s="91"/>
      <c r="J29" s="97"/>
      <c r="K29" s="87"/>
      <c r="L29" s="87"/>
      <c r="M29" s="87"/>
      <c r="N29" s="87"/>
    </row>
    <row r="30" spans="1:14">
      <c r="B30" s="91"/>
      <c r="C30" s="86"/>
      <c r="D30" s="89"/>
      <c r="E30" s="857"/>
      <c r="F30" s="857"/>
      <c r="G30" s="98"/>
      <c r="H30" s="98"/>
      <c r="I30" s="91"/>
      <c r="J30" s="97"/>
      <c r="K30" s="87"/>
      <c r="L30" s="87"/>
      <c r="M30" s="87"/>
      <c r="N30" s="87"/>
    </row>
    <row r="31" spans="1:14">
      <c r="A31" s="97">
        <f>+A29+1</f>
        <v>13</v>
      </c>
      <c r="B31" s="91"/>
      <c r="C31" s="111" t="s">
        <v>386</v>
      </c>
      <c r="D31" s="88" t="s">
        <v>80</v>
      </c>
      <c r="E31" s="869">
        <f>+'[4]Inputs 2019'!E87</f>
        <v>2729888659.8769102</v>
      </c>
      <c r="F31" s="869">
        <f>+'[4]Inputs 2019'!F87</f>
        <v>2592470562.0955</v>
      </c>
      <c r="G31" s="171">
        <f>IF(F31="",0,(E31+F31)/2)</f>
        <v>2661179610.9862051</v>
      </c>
      <c r="H31" s="98"/>
      <c r="I31" s="91"/>
      <c r="J31" s="97"/>
      <c r="K31" s="87"/>
      <c r="L31" s="87"/>
      <c r="M31" s="87"/>
      <c r="N31" s="87"/>
    </row>
    <row r="32" spans="1:14">
      <c r="B32" s="91"/>
      <c r="C32" s="86"/>
      <c r="D32" s="88"/>
      <c r="E32" s="857"/>
      <c r="F32" s="857"/>
      <c r="G32" s="98"/>
      <c r="H32" s="98"/>
      <c r="I32" s="91"/>
      <c r="J32" s="97"/>
      <c r="K32" s="87"/>
      <c r="L32" s="87"/>
      <c r="M32" s="87"/>
      <c r="N32" s="87"/>
    </row>
    <row r="33" spans="1:14">
      <c r="A33" s="97">
        <f>+A31+1</f>
        <v>14</v>
      </c>
      <c r="B33" s="91"/>
      <c r="C33" s="86" t="s">
        <v>19</v>
      </c>
      <c r="D33" s="88" t="s">
        <v>81</v>
      </c>
      <c r="E33" s="869">
        <v>0</v>
      </c>
      <c r="F33" s="869">
        <v>0</v>
      </c>
      <c r="G33" s="171">
        <f>IF(F33="",0,(E33+F33)/2)</f>
        <v>0</v>
      </c>
      <c r="H33" s="98"/>
      <c r="I33" s="91"/>
      <c r="J33" s="97"/>
      <c r="K33" s="87"/>
      <c r="L33" s="87"/>
      <c r="M33" s="87"/>
      <c r="N33" s="87"/>
    </row>
    <row r="34" spans="1:14">
      <c r="B34" s="91"/>
      <c r="C34" s="86"/>
      <c r="D34" s="89"/>
      <c r="E34" s="857"/>
      <c r="F34" s="857"/>
      <c r="G34" s="98"/>
      <c r="H34" s="98"/>
      <c r="I34" s="91"/>
      <c r="J34" s="97"/>
      <c r="K34" s="87"/>
      <c r="L34" s="87"/>
      <c r="M34" s="87"/>
      <c r="N34" s="87"/>
    </row>
    <row r="35" spans="1:14">
      <c r="A35" s="97">
        <f>+A33+1</f>
        <v>15</v>
      </c>
      <c r="B35" s="91"/>
      <c r="C35" s="111" t="s">
        <v>388</v>
      </c>
      <c r="D35" s="88" t="s">
        <v>82</v>
      </c>
      <c r="E35" s="869">
        <f>+'[4]Inputs 2019'!E91</f>
        <v>166578676.55768698</v>
      </c>
      <c r="F35" s="869">
        <f>+'[4]Inputs 2019'!F91</f>
        <v>171819980.35525599</v>
      </c>
      <c r="G35" s="171">
        <f>IF(F35="",0,(E35+F35)/2)</f>
        <v>169199328.4564715</v>
      </c>
      <c r="H35" s="98"/>
      <c r="I35" s="91"/>
      <c r="J35" s="97"/>
      <c r="K35" s="87"/>
      <c r="L35" s="87"/>
      <c r="M35" s="87"/>
      <c r="N35" s="87"/>
    </row>
    <row r="36" spans="1:14">
      <c r="B36" s="91"/>
      <c r="C36" s="86"/>
      <c r="D36" s="88"/>
      <c r="E36" s="857"/>
      <c r="F36" s="857"/>
      <c r="G36" s="98"/>
      <c r="H36" s="98"/>
      <c r="I36" s="91"/>
      <c r="J36" s="97"/>
      <c r="K36" s="87"/>
      <c r="L36" s="87"/>
      <c r="M36" s="87"/>
      <c r="N36" s="87"/>
    </row>
    <row r="37" spans="1:14">
      <c r="A37" s="97">
        <f>+A35+1</f>
        <v>16</v>
      </c>
      <c r="B37" s="91"/>
      <c r="C37" s="86" t="s">
        <v>1130</v>
      </c>
      <c r="D37" s="88" t="s">
        <v>83</v>
      </c>
      <c r="E37" s="869">
        <f>+'[4]Inputs 2019'!E93</f>
        <v>556590</v>
      </c>
      <c r="F37" s="869">
        <f>+'[4]Inputs 2019'!F93</f>
        <v>556590</v>
      </c>
      <c r="G37" s="171">
        <f>IF(F37="",0,(E37+F37)/2)</f>
        <v>556590</v>
      </c>
      <c r="H37" s="98"/>
      <c r="I37" s="91"/>
      <c r="J37" s="97"/>
      <c r="K37" s="87"/>
      <c r="L37" s="87"/>
      <c r="M37" s="87"/>
      <c r="N37" s="87"/>
    </row>
    <row r="38" spans="1:14">
      <c r="B38" s="91"/>
      <c r="C38" s="86"/>
      <c r="D38" s="89"/>
      <c r="E38" s="857"/>
      <c r="F38" s="857"/>
      <c r="G38" s="98"/>
      <c r="H38" s="98"/>
      <c r="I38" s="91"/>
      <c r="J38" s="97"/>
      <c r="K38" s="87"/>
      <c r="L38" s="87"/>
      <c r="M38" s="87"/>
      <c r="N38" s="87"/>
    </row>
    <row r="39" spans="1:14">
      <c r="A39" s="97">
        <f>+A37+1</f>
        <v>17</v>
      </c>
      <c r="B39" s="91"/>
      <c r="C39" s="111" t="s">
        <v>387</v>
      </c>
      <c r="D39" s="88" t="s">
        <v>84</v>
      </c>
      <c r="E39" s="869">
        <f>+'[4]Inputs 2019'!E95</f>
        <v>158628151.80877402</v>
      </c>
      <c r="F39" s="869">
        <f>+'[4]Inputs 2019'!F95</f>
        <v>126173285.58818099</v>
      </c>
      <c r="G39" s="171">
        <f>IF(F39="",0,(E39+F39)/2)</f>
        <v>142400718.69847751</v>
      </c>
      <c r="H39" s="98"/>
      <c r="I39" s="91"/>
      <c r="J39" s="97"/>
      <c r="K39" s="87"/>
      <c r="L39" s="87"/>
      <c r="M39" s="87"/>
      <c r="N39" s="87"/>
    </row>
    <row r="40" spans="1:14">
      <c r="B40" s="91"/>
      <c r="C40" s="86"/>
      <c r="D40" s="88"/>
      <c r="E40" s="85"/>
      <c r="F40" s="98"/>
      <c r="G40" s="98"/>
      <c r="H40" s="98"/>
      <c r="I40" s="91"/>
      <c r="J40" s="97"/>
      <c r="K40" s="87"/>
      <c r="L40" s="87"/>
      <c r="M40" s="87"/>
      <c r="N40" s="87"/>
    </row>
    <row r="41" spans="1:14">
      <c r="A41" s="97">
        <f>+A39+1</f>
        <v>18</v>
      </c>
      <c r="B41" s="91"/>
      <c r="C41" s="86" t="s">
        <v>20</v>
      </c>
      <c r="D41" s="88" t="str">
        <f>"(Sum of Lines: "&amp;A17&amp;", "&amp;A25&amp;", "&amp;A31&amp;", "&amp;A35&amp;", "&amp;A39&amp;")"</f>
        <v>(Sum of Lines: 3, 9, 13, 15, 17)</v>
      </c>
      <c r="E41" s="367">
        <f>+E25+E17+E31+E35+E39</f>
        <v>5565797365.0410957</v>
      </c>
      <c r="F41" s="367">
        <f>+F25+F17+F31+F35+F39</f>
        <v>5344598759.5232544</v>
      </c>
      <c r="G41" s="367">
        <f>+G25+G17+G31+G35+G39</f>
        <v>5455198062.282176</v>
      </c>
      <c r="H41" s="268"/>
      <c r="I41" s="91"/>
      <c r="J41" s="97"/>
      <c r="K41" s="87"/>
      <c r="L41" s="87"/>
      <c r="M41" s="87"/>
      <c r="N41" s="87"/>
    </row>
    <row r="42" spans="1:14">
      <c r="B42" s="91"/>
      <c r="C42" s="86"/>
      <c r="D42" s="89"/>
      <c r="E42" s="189"/>
      <c r="F42" s="85"/>
      <c r="G42" s="368"/>
      <c r="H42" s="98"/>
      <c r="I42" s="91"/>
      <c r="J42" s="97"/>
      <c r="K42" s="87"/>
      <c r="L42" s="87"/>
      <c r="M42" s="87"/>
      <c r="N42" s="87"/>
    </row>
    <row r="43" spans="1:14">
      <c r="A43" s="97">
        <f>+A41+1</f>
        <v>19</v>
      </c>
      <c r="B43" s="91"/>
      <c r="C43" s="86" t="str">
        <f>"Total ARO Balance (included in total on line "&amp;A41&amp;")"</f>
        <v>Total ARO Balance (included in total on line 18)</v>
      </c>
      <c r="D43" s="88" t="str">
        <f>"(Sum of Lines: "&amp;A21&amp;", "&amp;A29&amp;", "&amp;A33&amp;", "&amp;A37&amp;")"</f>
        <v>(Sum of Lines: 6, 12, 14, 16)</v>
      </c>
      <c r="E43" s="367">
        <f>+E29+E21+E33+E37</f>
        <v>36908729</v>
      </c>
      <c r="F43" s="367">
        <f>+F29+F21+F33+F37</f>
        <v>36908729</v>
      </c>
      <c r="G43" s="367">
        <f>+G29+G21+G33+G37</f>
        <v>36908729</v>
      </c>
      <c r="H43" s="268"/>
      <c r="I43" s="91"/>
      <c r="J43" s="97"/>
      <c r="K43" s="87"/>
      <c r="L43" s="87"/>
      <c r="M43" s="87"/>
      <c r="N43" s="87"/>
    </row>
    <row r="44" spans="1:14">
      <c r="B44" s="91"/>
      <c r="C44" s="86"/>
      <c r="D44" s="89"/>
      <c r="E44" s="368"/>
      <c r="F44" s="368"/>
      <c r="G44" s="368" t="str">
        <f>IF((E43+F43)/2=G43,"","Error")</f>
        <v/>
      </c>
      <c r="H44" s="98"/>
      <c r="I44" s="91"/>
      <c r="J44" s="97"/>
      <c r="K44" s="87"/>
      <c r="L44" s="87"/>
      <c r="M44" s="87"/>
      <c r="N44" s="87"/>
    </row>
    <row r="45" spans="1:14">
      <c r="A45" s="110" t="s">
        <v>22</v>
      </c>
      <c r="B45" s="91"/>
      <c r="C45" s="86"/>
      <c r="D45" s="89"/>
      <c r="E45" s="189"/>
      <c r="F45" s="98"/>
      <c r="G45" s="98"/>
      <c r="H45" s="98"/>
      <c r="I45" s="91"/>
      <c r="J45" s="97"/>
      <c r="K45" s="87"/>
      <c r="L45" s="87"/>
      <c r="M45" s="87"/>
      <c r="N45" s="87"/>
    </row>
    <row r="46" spans="1:14" ht="3" customHeight="1">
      <c r="B46" s="91"/>
      <c r="C46" s="86"/>
      <c r="D46" s="89"/>
      <c r="E46" s="189"/>
      <c r="F46" s="98"/>
      <c r="G46" s="98"/>
      <c r="H46" s="98"/>
      <c r="I46" s="91"/>
      <c r="J46" s="97"/>
      <c r="K46" s="87"/>
      <c r="L46" s="87"/>
      <c r="M46" s="87"/>
      <c r="N46" s="87"/>
    </row>
    <row r="47" spans="1:14" ht="12.75" customHeight="1">
      <c r="A47" s="97">
        <f>+A43+1</f>
        <v>20</v>
      </c>
      <c r="B47" s="91"/>
      <c r="C47" s="111" t="s">
        <v>392</v>
      </c>
      <c r="D47" s="88" t="s">
        <v>34</v>
      </c>
      <c r="E47" s="869">
        <f>+'[4]Inputs 2019'!E103</f>
        <v>832881920.04076529</v>
      </c>
      <c r="F47" s="869">
        <f>+'[4]Inputs 2019'!F103</f>
        <v>786117268.42091835</v>
      </c>
      <c r="G47" s="171">
        <f>IF(F47="",0,(E47+F47)/2)</f>
        <v>809499594.23084188</v>
      </c>
      <c r="H47" s="89"/>
      <c r="I47" s="97"/>
      <c r="J47" s="89"/>
      <c r="K47" s="87"/>
      <c r="L47" s="87"/>
      <c r="M47" s="87"/>
      <c r="N47" s="87"/>
    </row>
    <row r="48" spans="1:14" ht="12.75" customHeight="1">
      <c r="A48" s="97">
        <f>+A47+1</f>
        <v>21</v>
      </c>
      <c r="B48" s="91"/>
      <c r="C48" s="86" t="s">
        <v>1197</v>
      </c>
      <c r="D48" s="88" t="s">
        <v>1198</v>
      </c>
      <c r="E48" s="869"/>
      <c r="F48" s="869"/>
      <c r="G48" s="171">
        <f>IF(F48="",0,(E48+F48)/2)</f>
        <v>0</v>
      </c>
      <c r="H48" s="89"/>
      <c r="I48" s="97"/>
      <c r="J48" s="89"/>
      <c r="K48" s="87"/>
      <c r="L48" s="87"/>
      <c r="M48" s="87"/>
      <c r="N48" s="87"/>
    </row>
    <row r="49" spans="1:14" ht="12.75" customHeight="1">
      <c r="A49" s="97">
        <f>+A48+1</f>
        <v>22</v>
      </c>
      <c r="B49" s="91"/>
      <c r="C49" s="86" t="s">
        <v>1199</v>
      </c>
      <c r="D49" s="88"/>
      <c r="E49" s="1075">
        <f>+E47+E48</f>
        <v>832881920.04076529</v>
      </c>
      <c r="F49" s="1075">
        <f>+F47+F48</f>
        <v>786117268.42091835</v>
      </c>
      <c r="G49" s="171">
        <f>IF(F49="",0,(E49+F49)/2)</f>
        <v>809499594.23084188</v>
      </c>
      <c r="H49" s="89"/>
      <c r="I49" s="97"/>
      <c r="J49" s="89"/>
      <c r="K49" s="87"/>
      <c r="L49" s="87"/>
      <c r="M49" s="87"/>
      <c r="N49" s="87"/>
    </row>
    <row r="50" spans="1:14" ht="12.75" customHeight="1">
      <c r="B50" s="91"/>
      <c r="C50" s="86"/>
      <c r="D50" s="88"/>
      <c r="E50" s="85"/>
      <c r="F50" s="85"/>
      <c r="G50" s="98"/>
      <c r="H50" s="98"/>
      <c r="I50" s="100"/>
      <c r="J50" s="99"/>
      <c r="K50" s="87"/>
      <c r="L50" s="87"/>
      <c r="M50" s="87"/>
      <c r="N50" s="87"/>
    </row>
    <row r="51" spans="1:14" ht="12.75" customHeight="1">
      <c r="A51" s="97">
        <f>+A49+1</f>
        <v>23</v>
      </c>
      <c r="B51" s="91"/>
      <c r="C51" s="86" t="str">
        <f>"Production ARO Accumulated Depreciation (included in total on line "&amp;A47&amp;")"</f>
        <v>Production ARO Accumulated Depreciation (included in total on line 20)</v>
      </c>
      <c r="D51" s="88" t="s">
        <v>1084</v>
      </c>
      <c r="E51" s="869">
        <f>+'[4]Inputs 2019'!E105</f>
        <v>13753270.8724999</v>
      </c>
      <c r="F51" s="869">
        <f>+'[4]Inputs 2019'!F105</f>
        <v>12470205.8024999</v>
      </c>
      <c r="G51" s="171">
        <f>IF(F51="",0,(E51+F51)/2)</f>
        <v>13111738.3374999</v>
      </c>
      <c r="H51" s="108"/>
      <c r="I51" s="100"/>
      <c r="J51" s="89"/>
      <c r="K51" s="89"/>
      <c r="L51" s="89"/>
      <c r="M51" s="89"/>
      <c r="N51" s="89"/>
    </row>
    <row r="52" spans="1:14">
      <c r="A52" s="97">
        <f>+A51+1</f>
        <v>24</v>
      </c>
      <c r="B52" s="91"/>
      <c r="C52" s="86" t="s">
        <v>1203</v>
      </c>
      <c r="D52" s="88" t="s">
        <v>1198</v>
      </c>
      <c r="E52" s="869"/>
      <c r="F52" s="869"/>
      <c r="G52" s="171">
        <f>IF(F52="",0,(E52+F52)/2)</f>
        <v>0</v>
      </c>
      <c r="H52" s="98"/>
      <c r="I52" s="91"/>
      <c r="J52" s="97"/>
      <c r="K52" s="87"/>
      <c r="L52" s="87"/>
      <c r="M52" s="87"/>
      <c r="N52" s="87"/>
    </row>
    <row r="53" spans="1:14">
      <c r="A53" s="97">
        <f>+A52+1</f>
        <v>25</v>
      </c>
      <c r="B53" s="91"/>
      <c r="C53" s="86" t="s">
        <v>1204</v>
      </c>
      <c r="D53" s="88"/>
      <c r="E53" s="1075">
        <f>+E51+E52</f>
        <v>13753270.8724999</v>
      </c>
      <c r="F53" s="1075">
        <f>+F51+F52</f>
        <v>12470205.8024999</v>
      </c>
      <c r="G53" s="171">
        <f>IF(F53="",0,(E53+F53)/2)</f>
        <v>13111738.3374999</v>
      </c>
      <c r="H53" s="98"/>
      <c r="I53" s="91"/>
      <c r="J53" s="97"/>
      <c r="K53" s="87"/>
      <c r="L53" s="87"/>
      <c r="M53" s="87"/>
      <c r="N53" s="87"/>
    </row>
    <row r="54" spans="1:14" ht="12.75" customHeight="1">
      <c r="B54" s="91"/>
      <c r="C54" s="86"/>
      <c r="D54" s="89"/>
      <c r="E54" s="857"/>
      <c r="F54" s="857"/>
      <c r="G54" s="98"/>
      <c r="H54" s="109"/>
      <c r="I54" s="99"/>
      <c r="J54" s="89"/>
      <c r="K54" s="87"/>
      <c r="L54" s="87"/>
      <c r="M54" s="87"/>
      <c r="N54" s="87"/>
    </row>
    <row r="55" spans="1:14" ht="12.75" customHeight="1">
      <c r="A55" s="97">
        <f>+A53+1</f>
        <v>26</v>
      </c>
      <c r="C55" s="111" t="s">
        <v>390</v>
      </c>
      <c r="D55" s="88" t="s">
        <v>35</v>
      </c>
      <c r="E55" s="869">
        <f>+'[4]Inputs 2019'!E107</f>
        <v>235304624.31738198</v>
      </c>
      <c r="F55" s="869">
        <f>+'[4]Inputs 2019'!F107</f>
        <v>225188387.17938799</v>
      </c>
      <c r="G55" s="171">
        <f>IF(F55="",0,(E55+F55)/2)</f>
        <v>230246505.74838498</v>
      </c>
      <c r="H55" s="327"/>
      <c r="I55" s="91"/>
      <c r="J55" s="89"/>
      <c r="K55" s="87"/>
      <c r="L55" s="87"/>
      <c r="M55" s="87"/>
      <c r="N55" s="87"/>
    </row>
    <row r="56" spans="1:14">
      <c r="A56" s="97">
        <f>+A55+1</f>
        <v>27</v>
      </c>
      <c r="C56" s="86" t="s">
        <v>1200</v>
      </c>
      <c r="D56" s="88" t="s">
        <v>1198</v>
      </c>
      <c r="E56" s="869"/>
      <c r="F56" s="869"/>
      <c r="G56" s="171">
        <f>IF(F56="",0,(E56+F56)/2)</f>
        <v>0</v>
      </c>
      <c r="H56" s="38"/>
      <c r="I56" s="91"/>
      <c r="J56" s="97"/>
      <c r="K56" s="87"/>
      <c r="L56" s="87"/>
      <c r="M56" s="87"/>
      <c r="N56" s="87"/>
    </row>
    <row r="57" spans="1:14">
      <c r="A57" s="97">
        <f>+A56+1</f>
        <v>28</v>
      </c>
      <c r="C57" s="86" t="s">
        <v>1201</v>
      </c>
      <c r="D57" s="88"/>
      <c r="E57" s="1076">
        <f>+E55+E56</f>
        <v>235304624.31738198</v>
      </c>
      <c r="F57" s="1076">
        <f>+F55+F56</f>
        <v>225188387.17938799</v>
      </c>
      <c r="G57" s="171">
        <f>IF(F57="",0,(E57+F57)/2)</f>
        <v>230246505.74838498</v>
      </c>
      <c r="H57" s="38"/>
      <c r="I57" s="91"/>
      <c r="J57" s="97"/>
      <c r="K57" s="87"/>
      <c r="L57" s="87"/>
      <c r="M57" s="87"/>
      <c r="N57" s="87"/>
    </row>
    <row r="58" spans="1:14" ht="12.75" customHeight="1">
      <c r="B58" s="89"/>
      <c r="D58" s="88"/>
      <c r="E58" s="857"/>
      <c r="F58" s="857"/>
      <c r="G58" s="92"/>
      <c r="H58" s="98"/>
      <c r="I58" s="91"/>
      <c r="J58" s="89"/>
      <c r="K58" s="87"/>
      <c r="L58" s="87"/>
      <c r="M58" s="87"/>
      <c r="N58" s="87"/>
    </row>
    <row r="59" spans="1:14" ht="12.75" customHeight="1">
      <c r="A59" s="97">
        <f>+A57+1</f>
        <v>29</v>
      </c>
      <c r="B59" s="89"/>
      <c r="C59" s="86" t="str">
        <f>"Transmission ARO Accumulated Depreciation (included in total on line "&amp;A55&amp;")"</f>
        <v>Transmission ARO Accumulated Depreciation (included in total on line 26)</v>
      </c>
      <c r="D59" s="88" t="s">
        <v>1084</v>
      </c>
      <c r="E59" s="869"/>
      <c r="F59" s="869"/>
      <c r="G59" s="171">
        <f>IF(F59="",0,(E59+F59)/2)</f>
        <v>0</v>
      </c>
      <c r="H59" s="98"/>
      <c r="I59" s="91"/>
      <c r="J59" s="89"/>
      <c r="K59" s="87"/>
      <c r="L59" s="87"/>
      <c r="M59" s="87"/>
      <c r="N59" s="87"/>
    </row>
    <row r="60" spans="1:14">
      <c r="A60" s="97">
        <f>+A59+1</f>
        <v>30</v>
      </c>
      <c r="B60" s="89"/>
      <c r="C60" s="86" t="s">
        <v>1202</v>
      </c>
      <c r="D60" s="88" t="s">
        <v>1198</v>
      </c>
      <c r="E60" s="869"/>
      <c r="F60" s="869"/>
      <c r="G60" s="171">
        <f>IF(F60="",0,(E60+F60)/2)</f>
        <v>0</v>
      </c>
      <c r="H60" s="92"/>
      <c r="I60" s="91"/>
      <c r="J60" s="97"/>
      <c r="K60" s="87"/>
      <c r="L60" s="87"/>
      <c r="M60" s="87"/>
      <c r="N60" s="87"/>
    </row>
    <row r="61" spans="1:14">
      <c r="A61" s="97">
        <f>+A60+1</f>
        <v>31</v>
      </c>
      <c r="B61" s="89"/>
      <c r="C61" s="86" t="s">
        <v>1205</v>
      </c>
      <c r="D61" s="88"/>
      <c r="E61" s="1076">
        <f>+E59+E60</f>
        <v>0</v>
      </c>
      <c r="F61" s="1076">
        <f>+F59+F60</f>
        <v>0</v>
      </c>
      <c r="G61" s="171">
        <f>IF(F61="",0,(E61+F61)/2)</f>
        <v>0</v>
      </c>
      <c r="H61" s="92"/>
      <c r="I61" s="91"/>
      <c r="J61" s="97"/>
      <c r="K61" s="87"/>
      <c r="L61" s="87"/>
      <c r="M61" s="87"/>
      <c r="N61" s="87"/>
    </row>
    <row r="62" spans="1:14" ht="12.75" customHeight="1">
      <c r="B62" s="91"/>
      <c r="C62" s="86"/>
      <c r="D62" s="89"/>
      <c r="E62" s="857"/>
      <c r="F62" s="857"/>
      <c r="G62" s="98"/>
      <c r="H62" s="109"/>
      <c r="I62" s="99"/>
      <c r="J62" s="89"/>
      <c r="K62" s="87"/>
      <c r="L62" s="87"/>
      <c r="M62" s="87"/>
      <c r="N62" s="87"/>
    </row>
    <row r="63" spans="1:14" ht="12.75" customHeight="1">
      <c r="A63" s="97">
        <f>+A61+1</f>
        <v>32</v>
      </c>
      <c r="B63" s="91"/>
      <c r="C63" s="111" t="s">
        <v>391</v>
      </c>
      <c r="D63" s="88" t="s">
        <v>213</v>
      </c>
      <c r="E63" s="869">
        <f>+'[4]Inputs 2019'!E111</f>
        <v>662412887.85331202</v>
      </c>
      <c r="F63" s="869">
        <f>+'[4]Inputs 2019'!F111</f>
        <v>625202768.13859797</v>
      </c>
      <c r="G63" s="171">
        <f>IF(F63="",0,(E63+F63)/2)</f>
        <v>643807827.99595499</v>
      </c>
      <c r="H63" s="109"/>
      <c r="I63" s="99"/>
      <c r="J63" s="89"/>
      <c r="K63" s="87"/>
      <c r="L63" s="87"/>
      <c r="M63" s="87"/>
      <c r="N63" s="87"/>
    </row>
    <row r="64" spans="1:14" ht="12.75" customHeight="1">
      <c r="B64" s="91"/>
      <c r="C64" s="86"/>
      <c r="D64" s="88"/>
      <c r="E64" s="857"/>
      <c r="F64" s="857"/>
      <c r="G64" s="98"/>
      <c r="H64" s="109"/>
      <c r="I64" s="99"/>
      <c r="J64" s="89"/>
      <c r="K64" s="87"/>
      <c r="L64" s="87"/>
      <c r="M64" s="87"/>
      <c r="N64" s="87"/>
    </row>
    <row r="65" spans="1:14" ht="12.75" customHeight="1">
      <c r="A65" s="97">
        <f>+A63+1</f>
        <v>33</v>
      </c>
      <c r="B65" s="91"/>
      <c r="C65" s="86" t="str">
        <f>"Distribution ARO Accumulated Depreciation (included in total on line "&amp;A63&amp;")"</f>
        <v>Distribution ARO Accumulated Depreciation (included in total on line 32)</v>
      </c>
      <c r="D65" s="88">
        <v>0</v>
      </c>
      <c r="E65" s="869">
        <v>0</v>
      </c>
      <c r="F65" s="869">
        <v>0</v>
      </c>
      <c r="G65" s="171">
        <f>IF(F65="",0,(E65+F65)/2)</f>
        <v>0</v>
      </c>
      <c r="H65" s="98"/>
      <c r="I65" s="91"/>
      <c r="J65" s="97"/>
      <c r="K65" s="87"/>
      <c r="L65" s="87"/>
      <c r="M65" s="87"/>
      <c r="N65" s="87"/>
    </row>
    <row r="66" spans="1:14" ht="12.75" customHeight="1">
      <c r="B66" s="91"/>
      <c r="C66" s="86"/>
      <c r="D66" s="89"/>
      <c r="E66" s="857"/>
      <c r="F66" s="857"/>
      <c r="G66" s="98"/>
      <c r="H66" s="89"/>
      <c r="I66" s="97"/>
      <c r="J66" s="97"/>
      <c r="K66" s="87"/>
      <c r="L66" s="87"/>
      <c r="M66" s="87"/>
      <c r="N66" s="87"/>
    </row>
    <row r="67" spans="1:14" ht="12.75" customHeight="1">
      <c r="A67" s="97">
        <f>+A65+1</f>
        <v>34</v>
      </c>
      <c r="B67" s="91"/>
      <c r="C67" s="111" t="s">
        <v>21</v>
      </c>
      <c r="D67" s="88" t="s">
        <v>154</v>
      </c>
      <c r="E67" s="869">
        <f>+'[4]Inputs 2019'!E115</f>
        <v>45337370.975458801</v>
      </c>
      <c r="F67" s="869">
        <f>+'[4]Inputs 2019'!F115</f>
        <v>48289660.903193898</v>
      </c>
      <c r="G67" s="171">
        <f>IF(F67="",0,(E67+F67)/2)</f>
        <v>46813515.939326346</v>
      </c>
      <c r="H67" s="98"/>
      <c r="I67" s="100"/>
      <c r="J67" s="97"/>
      <c r="K67" s="87"/>
      <c r="L67" s="87"/>
      <c r="M67" s="87"/>
      <c r="N67" s="87"/>
    </row>
    <row r="68" spans="1:14" ht="12.75" customHeight="1">
      <c r="B68" s="91"/>
      <c r="C68" s="86"/>
      <c r="D68" s="88"/>
      <c r="E68" s="857"/>
      <c r="F68" s="857"/>
      <c r="G68" s="98"/>
      <c r="H68" s="108"/>
      <c r="I68" s="100"/>
      <c r="J68" s="97"/>
      <c r="K68" s="87"/>
      <c r="L68" s="87"/>
      <c r="M68" s="87"/>
      <c r="N68" s="87"/>
    </row>
    <row r="69" spans="1:14" ht="12.75" customHeight="1">
      <c r="A69" s="97">
        <f>+A67+1</f>
        <v>35</v>
      </c>
      <c r="B69" s="91"/>
      <c r="C69" s="86" t="str">
        <f>"General ARO Accumulated Depreciation (included in total on line "&amp;A67&amp;")"</f>
        <v>General ARO Accumulated Depreciation (included in total on line 34)</v>
      </c>
      <c r="D69" s="88" t="s">
        <v>1084</v>
      </c>
      <c r="E69" s="869">
        <v>415844</v>
      </c>
      <c r="F69" s="869">
        <v>415844</v>
      </c>
      <c r="G69" s="171">
        <f>IF(F69="",0,(E69+F69)/2)</f>
        <v>415844</v>
      </c>
      <c r="H69" s="109"/>
      <c r="I69" s="99"/>
      <c r="J69" s="97"/>
      <c r="K69" s="87"/>
      <c r="L69" s="87"/>
      <c r="M69" s="87"/>
      <c r="N69" s="87"/>
    </row>
    <row r="70" spans="1:14" ht="12.75" customHeight="1">
      <c r="B70" s="91"/>
      <c r="C70" s="86"/>
      <c r="D70" s="89"/>
      <c r="E70" s="857"/>
      <c r="F70" s="857"/>
      <c r="G70" s="98"/>
      <c r="H70" s="109"/>
      <c r="I70" s="99"/>
      <c r="J70" s="97"/>
      <c r="K70" s="87"/>
      <c r="L70" s="87"/>
      <c r="M70" s="87"/>
      <c r="N70" s="87"/>
    </row>
    <row r="71" spans="1:14" ht="12.75" customHeight="1">
      <c r="A71" s="97">
        <f>+A69+1</f>
        <v>36</v>
      </c>
      <c r="B71" s="91"/>
      <c r="C71" s="111" t="s">
        <v>23</v>
      </c>
      <c r="D71" s="88" t="s">
        <v>214</v>
      </c>
      <c r="E71" s="869">
        <f>+'[4]Inputs 2019'!E119</f>
        <v>63236580.737221897</v>
      </c>
      <c r="F71" s="869">
        <f>+'[4]Inputs 2019'!F119</f>
        <v>49235288.149176098</v>
      </c>
      <c r="G71" s="171">
        <f>IF(F71="",0,(E71+F71)/2)</f>
        <v>56235934.443198994</v>
      </c>
      <c r="H71" s="109"/>
      <c r="I71" s="99"/>
      <c r="J71" s="97"/>
      <c r="K71" s="87"/>
      <c r="L71" s="87"/>
      <c r="M71" s="87"/>
      <c r="N71" s="87"/>
    </row>
    <row r="72" spans="1:14" ht="12.75" customHeight="1">
      <c r="B72" s="91"/>
      <c r="C72" s="86"/>
      <c r="D72" s="88"/>
      <c r="E72" s="85"/>
      <c r="F72" s="98"/>
      <c r="G72" s="98"/>
      <c r="H72" s="109"/>
      <c r="I72" s="99"/>
      <c r="J72" s="97"/>
      <c r="K72" s="87"/>
      <c r="L72" s="87"/>
      <c r="M72" s="87"/>
      <c r="N72" s="87"/>
    </row>
    <row r="73" spans="1:14" ht="12.75" customHeight="1">
      <c r="A73" s="97">
        <f>+A71+1</f>
        <v>37</v>
      </c>
      <c r="B73" s="91"/>
      <c r="C73" s="86" t="s">
        <v>24</v>
      </c>
      <c r="D73" s="88" t="str">
        <f>"(Sum of Lines: "&amp;A49&amp;", "&amp;A57&amp;", "&amp;A63&amp;", "&amp;A67&amp;", "&amp;A71&amp;") FF1, page 200, ln 22, Col (b)"</f>
        <v>(Sum of Lines: 22, 28, 32, 34, 36) FF1, page 200, ln 22, Col (b)</v>
      </c>
      <c r="E73" s="367">
        <f>+E55+E49+E63+E67+E71</f>
        <v>1839173383.92414</v>
      </c>
      <c r="F73" s="367">
        <f>+F55+F49+F63+F67+F71</f>
        <v>1734033372.7912743</v>
      </c>
      <c r="G73" s="367">
        <f>+G55+G49+G63+G67+G71</f>
        <v>1786603378.357707</v>
      </c>
      <c r="H73" s="268"/>
      <c r="I73" s="97"/>
      <c r="J73" s="89"/>
      <c r="K73" s="87"/>
      <c r="L73" s="87"/>
      <c r="M73" s="87"/>
      <c r="N73" s="87"/>
    </row>
    <row r="74" spans="1:14" ht="12.75" customHeight="1">
      <c r="B74" s="91"/>
      <c r="C74" s="86"/>
      <c r="D74" s="89"/>
      <c r="E74" s="189"/>
      <c r="F74" s="85"/>
      <c r="G74" s="368"/>
      <c r="H74" s="98"/>
      <c r="I74" s="100"/>
      <c r="K74" s="87"/>
      <c r="L74" s="87"/>
      <c r="M74" s="87"/>
      <c r="N74" s="87"/>
    </row>
    <row r="75" spans="1:14" ht="12.75" customHeight="1">
      <c r="A75" s="97">
        <f>+A73+1</f>
        <v>38</v>
      </c>
      <c r="B75" s="91"/>
      <c r="C75" s="86" t="str">
        <f>"Total ARO Balance (included in total on line "&amp;A73&amp;")"</f>
        <v>Total ARO Balance (included in total on line 37)</v>
      </c>
      <c r="D75" s="88" t="str">
        <f>"(Sum of Lines: "&amp;A53&amp;", "&amp;A61&amp;", "&amp;A65&amp;", "&amp;A69&amp;")"</f>
        <v>(Sum of Lines: 25, 31, 33, 35)</v>
      </c>
      <c r="E75" s="367">
        <f>+E61+E53+E65+E69</f>
        <v>14169114.8724999</v>
      </c>
      <c r="F75" s="367">
        <f>+F61+F53+F65+F69</f>
        <v>12886049.8024999</v>
      </c>
      <c r="G75" s="367">
        <f>+G61+G53+G65+G69</f>
        <v>13527582.3374999</v>
      </c>
      <c r="H75" s="268"/>
      <c r="I75" s="100"/>
      <c r="J75" s="89"/>
      <c r="K75" s="89"/>
      <c r="L75" s="89"/>
      <c r="M75" s="89"/>
      <c r="N75" s="89"/>
    </row>
    <row r="76" spans="1:14" ht="12.75" customHeight="1">
      <c r="B76" s="91"/>
      <c r="C76" s="86"/>
      <c r="D76" s="88"/>
      <c r="E76" s="368"/>
      <c r="F76" s="368"/>
      <c r="G76" s="368" t="str">
        <f>IF((E75+F75)/2=G75,"","Error")</f>
        <v/>
      </c>
      <c r="H76" s="108"/>
      <c r="I76" s="100"/>
      <c r="J76" s="89"/>
      <c r="K76" s="89"/>
      <c r="L76" s="89"/>
      <c r="M76" s="89"/>
      <c r="N76" s="89"/>
    </row>
    <row r="77" spans="1:14" ht="12.75" customHeight="1">
      <c r="A77" s="110" t="s">
        <v>25</v>
      </c>
      <c r="B77" s="91"/>
      <c r="C77" s="86"/>
      <c r="D77" s="88"/>
      <c r="E77" s="268"/>
      <c r="F77" s="268"/>
      <c r="G77" s="98"/>
      <c r="H77" s="108"/>
      <c r="I77" s="100"/>
      <c r="J77" s="89"/>
      <c r="K77" s="89"/>
      <c r="L77" s="89"/>
      <c r="M77" s="89"/>
      <c r="N77" s="89"/>
    </row>
    <row r="78" spans="1:14" ht="4.5" customHeight="1">
      <c r="B78" s="91"/>
      <c r="C78" s="86"/>
      <c r="D78" s="88"/>
      <c r="E78" s="268"/>
      <c r="F78" s="268"/>
      <c r="G78" s="98"/>
      <c r="H78" s="108"/>
      <c r="I78" s="100"/>
      <c r="J78" s="89"/>
      <c r="K78" s="89"/>
      <c r="L78" s="89"/>
      <c r="M78" s="89"/>
      <c r="N78" s="89"/>
    </row>
    <row r="79" spans="1:14" ht="12.75" customHeight="1">
      <c r="A79" s="97">
        <f>+A75+1</f>
        <v>39</v>
      </c>
      <c r="B79" s="91"/>
      <c r="C79" s="86" t="str">
        <f>"GSU Investment Amount  (included in total on line "&amp;A23&amp;")"</f>
        <v>GSU Investment Amount  (included in total on line 7)</v>
      </c>
      <c r="D79" s="88" t="s">
        <v>1084</v>
      </c>
      <c r="E79" s="869">
        <f>+'[4]Inputs 2019'!E127</f>
        <v>23812668</v>
      </c>
      <c r="F79" s="869">
        <f>+'[4]Inputs 2019'!F127</f>
        <v>23812668</v>
      </c>
      <c r="G79" s="171">
        <f>IF(F79="",0,(E79+F79)/2)</f>
        <v>23812668</v>
      </c>
      <c r="H79" s="108"/>
      <c r="I79" s="100"/>
      <c r="J79" s="89"/>
      <c r="K79" s="89"/>
      <c r="L79" s="89"/>
      <c r="M79" s="89"/>
      <c r="N79" s="89"/>
    </row>
    <row r="80" spans="1:14" ht="12.75" customHeight="1">
      <c r="A80" s="97">
        <f>+A79+1</f>
        <v>40</v>
      </c>
      <c r="B80" s="91"/>
      <c r="C80" s="86" t="str">
        <f>"GSU Accumulated Depreciation (Included in total on line "&amp;A55&amp;")"</f>
        <v>GSU Accumulated Depreciation (Included in total on line 26)</v>
      </c>
      <c r="D80" s="88" t="s">
        <v>1084</v>
      </c>
      <c r="E80" s="869">
        <f>+'[4]Inputs 2019'!E128</f>
        <v>7652491.9671499906</v>
      </c>
      <c r="F80" s="869">
        <f>+'[4]Inputs 2019'!F128</f>
        <v>7207254.6072199903</v>
      </c>
      <c r="G80" s="171">
        <f>IF(F80="",0,(E80+F80)/2)</f>
        <v>7429873.2871849909</v>
      </c>
      <c r="H80" s="108"/>
      <c r="I80" s="100"/>
      <c r="J80" s="89"/>
      <c r="K80" s="89"/>
      <c r="L80" s="89"/>
      <c r="M80" s="89"/>
      <c r="N80" s="89"/>
    </row>
    <row r="81" spans="1:14" ht="12.75" customHeight="1">
      <c r="A81" s="97">
        <f>+A80+1</f>
        <v>41</v>
      </c>
      <c r="B81" s="91"/>
      <c r="C81" s="86" t="s">
        <v>26</v>
      </c>
      <c r="D81" s="88" t="str">
        <f>"(Line "&amp;A79&amp;" - Line  "&amp;A80&amp;")"</f>
        <v>(Line 39 - Line  40)</v>
      </c>
      <c r="E81" s="367">
        <f>+E79-E80</f>
        <v>16160176.032850008</v>
      </c>
      <c r="F81" s="367">
        <f>+F79-F80</f>
        <v>16605413.39278001</v>
      </c>
      <c r="G81" s="367">
        <f>+G79-G80</f>
        <v>16382794.712815009</v>
      </c>
      <c r="H81" s="268"/>
      <c r="I81" s="100"/>
      <c r="J81" s="89"/>
      <c r="K81" s="89"/>
      <c r="L81" s="89"/>
      <c r="M81" s="89"/>
      <c r="N81" s="89"/>
    </row>
    <row r="82" spans="1:14" ht="12.75" customHeight="1">
      <c r="B82" s="91"/>
      <c r="C82" s="86"/>
      <c r="D82" s="88"/>
      <c r="E82" s="440"/>
      <c r="F82" s="440"/>
      <c r="G82" s="440"/>
      <c r="H82" s="108"/>
      <c r="I82" s="100"/>
      <c r="J82" s="89"/>
      <c r="K82" s="89"/>
      <c r="L82" s="89"/>
      <c r="M82" s="89"/>
      <c r="N82" s="89"/>
    </row>
    <row r="83" spans="1:14" ht="12.75" customHeight="1">
      <c r="A83" s="317" t="s">
        <v>2</v>
      </c>
      <c r="B83" s="91"/>
      <c r="C83" s="86"/>
      <c r="D83" s="88"/>
      <c r="E83" s="268"/>
      <c r="F83" s="268"/>
      <c r="G83" s="98"/>
      <c r="H83" s="108"/>
      <c r="I83" s="100"/>
      <c r="J83" s="89"/>
      <c r="K83" s="89"/>
      <c r="L83" s="89"/>
      <c r="M83" s="89"/>
      <c r="N83" s="89"/>
    </row>
    <row r="84" spans="1:14" ht="4.5" customHeight="1">
      <c r="B84" s="91"/>
      <c r="C84" s="86"/>
      <c r="D84" s="88"/>
      <c r="E84" s="268"/>
      <c r="F84" s="268"/>
      <c r="G84" s="98"/>
      <c r="H84" s="108"/>
      <c r="I84" s="100"/>
      <c r="J84" s="89"/>
      <c r="K84" s="89"/>
      <c r="L84" s="89"/>
      <c r="M84" s="89"/>
      <c r="N84" s="89"/>
    </row>
    <row r="85" spans="1:14" ht="12.75" customHeight="1">
      <c r="A85" s="97">
        <f>+A81+1</f>
        <v>42</v>
      </c>
      <c r="B85" s="91"/>
      <c r="C85" s="316" t="s">
        <v>1</v>
      </c>
      <c r="D85" s="88" t="s">
        <v>1084</v>
      </c>
      <c r="E85" s="869">
        <f>+'[4]Inputs 2019'!E134</f>
        <v>40868204</v>
      </c>
      <c r="F85" s="869">
        <f>+'[4]Inputs 2019'!F134</f>
        <v>40868204</v>
      </c>
      <c r="G85" s="171">
        <f>IF(F85="",0,(E85+F85)/2)</f>
        <v>40868204</v>
      </c>
      <c r="H85" s="108"/>
      <c r="I85" s="100"/>
      <c r="J85" s="89"/>
      <c r="K85" s="89"/>
      <c r="L85" s="89"/>
      <c r="M85" s="89"/>
      <c r="N85" s="89"/>
    </row>
    <row r="86" spans="1:14" ht="12.75" customHeight="1">
      <c r="A86" s="97">
        <f>+A85+1</f>
        <v>43</v>
      </c>
      <c r="B86" s="91"/>
      <c r="C86" s="316" t="s">
        <v>402</v>
      </c>
      <c r="D86" s="88" t="s">
        <v>1084</v>
      </c>
      <c r="E86" s="869">
        <f>+'[4]Inputs 2019'!E135</f>
        <v>18312745</v>
      </c>
      <c r="F86" s="869">
        <f>+'[4]Inputs 2019'!F135</f>
        <v>18312745</v>
      </c>
      <c r="G86" s="171">
        <f>IF(F86="",0,(E86+F86)/2)</f>
        <v>18312745</v>
      </c>
      <c r="H86" s="108"/>
      <c r="I86" s="100"/>
      <c r="J86" s="89"/>
      <c r="K86" s="89"/>
      <c r="L86" s="89"/>
      <c r="M86" s="89"/>
      <c r="N86" s="89"/>
    </row>
    <row r="87" spans="1:14" ht="12.75" customHeight="1">
      <c r="A87" s="97">
        <f>+A86+1</f>
        <v>44</v>
      </c>
      <c r="B87" s="91"/>
      <c r="C87" s="316" t="s">
        <v>403</v>
      </c>
      <c r="D87" s="88" t="str">
        <f>"(Line "&amp;A85&amp;" - Line  "&amp;A86&amp;")"</f>
        <v>(Line 42 - Line  43)</v>
      </c>
      <c r="E87" s="367">
        <f>+E85-E86</f>
        <v>22555459</v>
      </c>
      <c r="F87" s="367">
        <f>+F85-F86</f>
        <v>22555459</v>
      </c>
      <c r="G87" s="367">
        <f>+G85-G86</f>
        <v>22555459</v>
      </c>
      <c r="H87" s="268"/>
      <c r="I87" s="100"/>
      <c r="J87" s="89"/>
      <c r="K87" s="89"/>
      <c r="L87" s="89"/>
      <c r="M87" s="89"/>
      <c r="N87" s="89"/>
    </row>
    <row r="88" spans="1:14" ht="12.75" customHeight="1">
      <c r="B88" s="91"/>
      <c r="C88" s="86"/>
      <c r="D88" s="88"/>
      <c r="E88" s="440"/>
      <c r="F88" s="440"/>
      <c r="G88" s="440"/>
      <c r="H88" s="108"/>
      <c r="I88" s="100"/>
      <c r="J88" s="89"/>
      <c r="K88" s="89"/>
      <c r="L88" s="89"/>
      <c r="M88" s="89"/>
      <c r="N88" s="89"/>
    </row>
    <row r="89" spans="1:14" ht="12.75" customHeight="1">
      <c r="A89" s="318" t="s">
        <v>166</v>
      </c>
      <c r="B89" s="91"/>
      <c r="C89" s="86"/>
      <c r="D89" s="88"/>
      <c r="E89" s="440"/>
      <c r="F89" s="440"/>
      <c r="G89" s="440"/>
      <c r="H89" s="108"/>
      <c r="I89" s="100"/>
      <c r="J89" s="89"/>
      <c r="K89" s="89"/>
      <c r="L89" s="89"/>
      <c r="M89" s="89"/>
      <c r="N89" s="89"/>
    </row>
    <row r="90" spans="1:14" ht="3.75" customHeight="1">
      <c r="A90" s="90"/>
      <c r="B90" s="91"/>
      <c r="C90" s="86"/>
      <c r="D90" s="88"/>
      <c r="E90" s="440"/>
      <c r="F90" s="440"/>
      <c r="G90" s="440"/>
      <c r="H90" s="108"/>
      <c r="I90" s="100"/>
      <c r="J90" s="89"/>
      <c r="K90" s="89"/>
      <c r="L90" s="89"/>
      <c r="M90" s="89"/>
      <c r="N90" s="89"/>
    </row>
    <row r="91" spans="1:14" ht="12.75" customHeight="1">
      <c r="A91" s="97">
        <f>+A87+1</f>
        <v>45</v>
      </c>
      <c r="B91" s="91"/>
      <c r="C91" s="86" t="s">
        <v>390</v>
      </c>
      <c r="D91" s="88" t="str">
        <f>"(Line "&amp;A57&amp;" Above)"</f>
        <v>(Line 28 Above)</v>
      </c>
      <c r="E91" s="440">
        <f>+E57</f>
        <v>235304624.31738198</v>
      </c>
      <c r="F91" s="440">
        <f>+F57</f>
        <v>225188387.17938799</v>
      </c>
      <c r="G91" s="171">
        <f>IF(F91=0,0,(E91+F91)/2)</f>
        <v>230246505.74838498</v>
      </c>
      <c r="H91" s="108"/>
      <c r="I91" s="100"/>
      <c r="J91" s="89"/>
      <c r="K91" s="89"/>
      <c r="L91" s="89"/>
      <c r="M91" s="89"/>
      <c r="N91" s="89"/>
    </row>
    <row r="92" spans="1:14" ht="12.75" customHeight="1">
      <c r="B92" s="91"/>
      <c r="C92" s="86"/>
      <c r="D92" s="88"/>
      <c r="E92" s="440"/>
      <c r="F92" s="440"/>
      <c r="G92" s="171"/>
      <c r="H92" s="108"/>
      <c r="I92" s="100"/>
      <c r="J92" s="89"/>
      <c r="K92" s="89"/>
      <c r="L92" s="89"/>
      <c r="M92" s="89"/>
      <c r="N92" s="89"/>
    </row>
    <row r="93" spans="1:14" ht="12.75" customHeight="1">
      <c r="A93" s="97">
        <f>+A91+1</f>
        <v>46</v>
      </c>
      <c r="B93" s="91"/>
      <c r="C93" s="86" t="s">
        <v>460</v>
      </c>
      <c r="D93" s="88" t="str">
        <f>"(Line "&amp;A80&amp;" + Line "&amp;A86&amp;" Above)"</f>
        <v>(Line 40 + Line 43 Above)</v>
      </c>
      <c r="E93" s="268">
        <f>+E80+E86</f>
        <v>25965236.967149992</v>
      </c>
      <c r="F93" s="268">
        <f>+F80+F86</f>
        <v>25519999.60721999</v>
      </c>
      <c r="G93" s="171">
        <f>IF(F93=0,0,(E93+F93)/2)</f>
        <v>25742618.287184991</v>
      </c>
      <c r="H93" s="108"/>
      <c r="I93" s="100"/>
      <c r="J93" s="89"/>
      <c r="K93" s="89"/>
      <c r="L93" s="89"/>
      <c r="M93" s="89"/>
      <c r="N93" s="89"/>
    </row>
    <row r="94" spans="1:14" ht="12.75" customHeight="1">
      <c r="B94" s="91"/>
      <c r="C94" s="86"/>
      <c r="D94" s="88"/>
      <c r="E94" s="268"/>
      <c r="F94" s="268"/>
      <c r="G94" s="98"/>
      <c r="H94" s="108"/>
      <c r="I94" s="100"/>
      <c r="J94" s="89"/>
      <c r="K94" s="89"/>
      <c r="L94" s="89"/>
      <c r="M94" s="89"/>
      <c r="N94" s="89"/>
    </row>
    <row r="95" spans="1:14" ht="25.5">
      <c r="A95" s="319">
        <f>+A93+1</f>
        <v>47</v>
      </c>
      <c r="B95" s="320"/>
      <c r="C95" s="321" t="s">
        <v>165</v>
      </c>
      <c r="D95" s="322" t="str">
        <f>"(Line "&amp;A91&amp;" - Line  "&amp;A93&amp;")"</f>
        <v>(Line 45 - Line  46)</v>
      </c>
      <c r="E95" s="462">
        <f>+E91-E93</f>
        <v>209339387.35023198</v>
      </c>
      <c r="F95" s="462">
        <f>+F91-F93</f>
        <v>199668387.57216799</v>
      </c>
      <c r="G95" s="462">
        <f>+G91-G93</f>
        <v>204503887.4612</v>
      </c>
      <c r="H95" s="268"/>
      <c r="I95" s="100"/>
      <c r="J95" s="89"/>
      <c r="K95" s="89"/>
      <c r="L95" s="89"/>
      <c r="M95" s="89"/>
      <c r="N95" s="89"/>
    </row>
    <row r="96" spans="1:14" ht="12.75" customHeight="1">
      <c r="B96" s="91"/>
      <c r="C96" s="86"/>
      <c r="D96" s="88"/>
      <c r="E96" s="268"/>
      <c r="F96" s="268"/>
      <c r="G96" s="98"/>
      <c r="H96" s="108"/>
      <c r="I96" s="100"/>
      <c r="J96" s="89"/>
      <c r="K96" s="89"/>
      <c r="L96" s="89"/>
      <c r="M96" s="89"/>
      <c r="N96" s="89"/>
    </row>
    <row r="97" spans="1:14" ht="12.75" customHeight="1">
      <c r="A97" s="110" t="s">
        <v>241</v>
      </c>
      <c r="B97" s="91"/>
      <c r="C97" s="85"/>
      <c r="D97" s="89"/>
      <c r="E97" s="85"/>
      <c r="F97" s="85"/>
      <c r="G97" s="98"/>
      <c r="H97" s="108"/>
      <c r="I97" s="100"/>
      <c r="J97" s="89"/>
      <c r="K97" s="89"/>
      <c r="L97" s="89"/>
      <c r="M97" s="89"/>
      <c r="N97" s="89"/>
    </row>
    <row r="98" spans="1:14" ht="12.75" customHeight="1">
      <c r="B98" s="84"/>
      <c r="D98" s="89"/>
      <c r="E98" s="89"/>
      <c r="F98" s="89"/>
      <c r="G98" s="98"/>
      <c r="H98" s="108"/>
      <c r="I98" s="100"/>
      <c r="J98" s="89"/>
      <c r="K98" s="89"/>
      <c r="L98" s="89"/>
      <c r="M98" s="89"/>
      <c r="N98" s="89"/>
    </row>
    <row r="99" spans="1:14" ht="12.75" customHeight="1">
      <c r="A99" s="97">
        <f>+A95+1</f>
        <v>48</v>
      </c>
      <c r="C99" s="110" t="s">
        <v>241</v>
      </c>
      <c r="D99" s="88" t="s">
        <v>28</v>
      </c>
      <c r="E99" s="869">
        <f>+'[4]Inputs 2019'!E148</f>
        <v>302647</v>
      </c>
      <c r="F99" s="869">
        <f>+'[4]Inputs 2019'!F148</f>
        <v>302647</v>
      </c>
      <c r="G99" s="171">
        <f>IF(F99="",0,(E99+F99)/2)</f>
        <v>302647</v>
      </c>
      <c r="H99" s="268"/>
      <c r="I99" s="100"/>
      <c r="J99" s="89"/>
      <c r="K99" s="89"/>
      <c r="L99" s="89"/>
      <c r="M99" s="89"/>
      <c r="N99" s="89"/>
    </row>
    <row r="100" spans="1:14" ht="12.75" customHeight="1">
      <c r="A100" s="111"/>
      <c r="G100" s="98"/>
      <c r="H100" s="108"/>
      <c r="I100" s="100"/>
      <c r="J100" s="89"/>
      <c r="K100" s="89"/>
      <c r="L100" s="89"/>
      <c r="M100" s="89"/>
      <c r="N100" s="89"/>
    </row>
    <row r="101" spans="1:14" ht="12.75" customHeight="1">
      <c r="A101" s="97">
        <f>+A99+1</f>
        <v>49</v>
      </c>
      <c r="B101" s="84"/>
      <c r="C101" s="110" t="str">
        <f>"Transmission Plant Held For Future Use (Included in total on line "&amp;A99&amp;")"</f>
        <v>Transmission Plant Held For Future Use (Included in total on line 48)</v>
      </c>
      <c r="D101" s="88" t="s">
        <v>1084</v>
      </c>
      <c r="E101" s="869">
        <v>0</v>
      </c>
      <c r="F101" s="869">
        <v>0</v>
      </c>
      <c r="G101" s="171">
        <f>IF(F101="",0,(E101+F101)/2)</f>
        <v>0</v>
      </c>
      <c r="H101" s="108"/>
      <c r="I101" s="100"/>
      <c r="J101" s="89"/>
      <c r="K101" s="89"/>
      <c r="L101" s="89"/>
      <c r="M101" s="89"/>
      <c r="N101" s="89"/>
    </row>
    <row r="102" spans="1:14" ht="12.75" customHeight="1">
      <c r="A102" s="38"/>
      <c r="B102" s="38"/>
      <c r="C102" s="38"/>
      <c r="D102" s="38"/>
      <c r="E102" s="38"/>
      <c r="F102" s="38"/>
      <c r="G102" s="38"/>
      <c r="H102" s="38"/>
      <c r="I102" s="38"/>
      <c r="J102" s="38"/>
      <c r="K102" s="38"/>
      <c r="L102" s="89"/>
      <c r="M102" s="89"/>
      <c r="N102" s="89"/>
    </row>
    <row r="103" spans="1:14" ht="12.75" customHeight="1">
      <c r="A103" s="97" t="s">
        <v>1082</v>
      </c>
      <c r="B103" s="93" t="s">
        <v>1083</v>
      </c>
      <c r="D103" s="38"/>
      <c r="E103" s="38"/>
      <c r="F103" s="38"/>
      <c r="G103" s="38"/>
      <c r="H103" s="38"/>
      <c r="I103" s="38"/>
      <c r="J103" s="38"/>
      <c r="K103" s="38"/>
      <c r="L103" s="89"/>
      <c r="M103" s="89"/>
      <c r="N103" s="89"/>
    </row>
    <row r="105" spans="1:14" s="882" customFormat="1">
      <c r="A105" s="110" t="s">
        <v>1107</v>
      </c>
      <c r="B105" s="1077"/>
      <c r="C105" s="1077"/>
      <c r="D105" s="1077"/>
      <c r="E105" s="895"/>
      <c r="F105" s="895"/>
      <c r="G105" s="895"/>
      <c r="H105" s="895"/>
      <c r="I105" s="895"/>
      <c r="J105" s="895"/>
      <c r="K105" s="895"/>
      <c r="L105" s="1078"/>
      <c r="M105" s="1078"/>
      <c r="N105" s="1078"/>
    </row>
    <row r="106" spans="1:14" s="882" customFormat="1">
      <c r="A106" s="93"/>
      <c r="B106" s="93"/>
      <c r="C106" s="93" t="s">
        <v>1110</v>
      </c>
      <c r="D106" s="93"/>
      <c r="I106" s="895"/>
      <c r="K106" s="895"/>
      <c r="L106" s="895"/>
      <c r="M106" s="895"/>
      <c r="N106" s="895"/>
    </row>
    <row r="107" spans="1:14" s="882" customFormat="1">
      <c r="A107" s="97">
        <f>+A101+1</f>
        <v>50</v>
      </c>
      <c r="B107" s="93"/>
      <c r="C107" s="869"/>
      <c r="D107" s="57"/>
      <c r="E107" s="869"/>
      <c r="F107" s="869"/>
      <c r="G107" s="894">
        <v>0</v>
      </c>
      <c r="I107" s="895"/>
      <c r="K107" s="895"/>
      <c r="L107" s="895"/>
      <c r="M107" s="895"/>
      <c r="N107" s="895"/>
    </row>
    <row r="108" spans="1:14" s="882" customFormat="1">
      <c r="A108" s="97">
        <f>+A107+1</f>
        <v>51</v>
      </c>
      <c r="B108" s="93"/>
      <c r="C108" s="869"/>
      <c r="D108" s="57"/>
      <c r="E108" s="869"/>
      <c r="F108" s="869"/>
      <c r="G108" s="894">
        <v>0</v>
      </c>
      <c r="I108" s="895"/>
      <c r="K108" s="895"/>
      <c r="L108" s="895"/>
      <c r="M108" s="895"/>
      <c r="N108" s="895"/>
    </row>
    <row r="109" spans="1:14" s="882" customFormat="1">
      <c r="A109" s="97">
        <f>+A108+1</f>
        <v>52</v>
      </c>
      <c r="B109" s="93"/>
      <c r="C109" s="869"/>
      <c r="D109" s="57"/>
      <c r="E109" s="869"/>
      <c r="F109" s="869"/>
      <c r="G109" s="894">
        <v>0</v>
      </c>
      <c r="I109" s="895"/>
      <c r="K109" s="895"/>
      <c r="L109" s="895"/>
      <c r="M109" s="895"/>
      <c r="N109" s="895"/>
    </row>
    <row r="110" spans="1:14" s="882" customFormat="1">
      <c r="A110" s="97">
        <f>+A109+1</f>
        <v>53</v>
      </c>
      <c r="B110" s="93"/>
      <c r="C110" s="57"/>
      <c r="D110" s="57"/>
      <c r="E110" s="1079"/>
      <c r="F110" s="1079"/>
      <c r="G110" s="894">
        <v>0</v>
      </c>
      <c r="I110" s="895"/>
      <c r="K110" s="895"/>
      <c r="L110" s="895"/>
      <c r="M110" s="895"/>
      <c r="N110" s="895"/>
    </row>
    <row r="111" spans="1:14" s="882" customFormat="1">
      <c r="A111" s="97">
        <f>+A110+1</f>
        <v>54</v>
      </c>
      <c r="B111" s="93"/>
      <c r="C111" s="57"/>
      <c r="D111" s="57"/>
      <c r="E111" s="1079"/>
      <c r="F111" s="1079"/>
      <c r="G111" s="894">
        <v>0</v>
      </c>
      <c r="I111" s="895"/>
      <c r="K111" s="895"/>
      <c r="L111" s="895"/>
      <c r="M111" s="895"/>
      <c r="N111" s="895"/>
    </row>
    <row r="112" spans="1:14" s="882" customFormat="1">
      <c r="A112" s="97">
        <f>+A111+1</f>
        <v>55</v>
      </c>
      <c r="B112" s="93"/>
      <c r="C112" s="910" t="s">
        <v>1108</v>
      </c>
      <c r="D112" s="910"/>
      <c r="E112" s="893">
        <v>0</v>
      </c>
      <c r="F112" s="893">
        <v>0</v>
      </c>
      <c r="G112" s="893">
        <v>0</v>
      </c>
      <c r="I112" s="895"/>
      <c r="K112" s="895"/>
      <c r="L112" s="895"/>
      <c r="M112" s="895"/>
      <c r="N112" s="895"/>
    </row>
  </sheetData>
  <mergeCells count="6">
    <mergeCell ref="A11:G11"/>
    <mergeCell ref="G7:G8"/>
    <mergeCell ref="A2:G2"/>
    <mergeCell ref="A1:G1"/>
    <mergeCell ref="A3:G3"/>
    <mergeCell ref="A4:G4"/>
  </mergeCells>
  <phoneticPr fontId="2" type="noConversion"/>
  <printOptions horizontalCentered="1"/>
  <pageMargins left="0.25" right="0.25" top="1" bottom="0" header="0.65" footer="0"/>
  <pageSetup scale="47" fitToHeight="2" orientation="portrait" r:id="rId1"/>
  <headerFooter alignWithMargins="0">
    <oddHeader xml:space="preserve">&amp;R&amp;12AEP - SPP Formula Rate
TCOS - WS A
Page: &amp;P of &amp;N&amp;16
</oddHeader>
    <oddFooter xml:space="preserve">&amp;R &amp;C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18"/>
  <sheetViews>
    <sheetView zoomScaleNormal="100" workbookViewId="0">
      <selection activeCell="O34" sqref="O34"/>
    </sheetView>
  </sheetViews>
  <sheetFormatPr defaultRowHeight="12.75"/>
  <cols>
    <col min="1" max="1" width="9.140625" style="520"/>
    <col min="2" max="4" width="27.7109375" style="520" customWidth="1"/>
    <col min="5" max="16384" width="9.140625" style="520"/>
  </cols>
  <sheetData>
    <row r="1" spans="1:13" ht="15">
      <c r="A1" s="1556" t="str">
        <f>+'PSO TCOS'!F3</f>
        <v xml:space="preserve">AEP West SPP Member Operating Companies </v>
      </c>
      <c r="B1" s="1556"/>
      <c r="C1" s="1556"/>
      <c r="D1" s="1556"/>
      <c r="E1" s="51"/>
      <c r="F1" s="51"/>
      <c r="G1" s="51"/>
      <c r="H1" s="51"/>
      <c r="I1" s="51"/>
      <c r="J1" s="51"/>
      <c r="K1" s="51"/>
      <c r="L1" s="51"/>
      <c r="M1" s="51"/>
    </row>
    <row r="2" spans="1:13" ht="15">
      <c r="A2" s="1553" t="str">
        <f>+'PSO WS A RB Support '!A2:G2</f>
        <v xml:space="preserve">Actual / Projected 2019 Rate Year Cost of Service Formula Rate </v>
      </c>
      <c r="B2" s="1553"/>
      <c r="C2" s="1553"/>
      <c r="D2" s="1553"/>
      <c r="E2" s="420"/>
      <c r="F2" s="420"/>
      <c r="G2" s="420"/>
      <c r="H2" s="420"/>
      <c r="I2" s="420"/>
      <c r="J2" s="420"/>
      <c r="K2" s="420"/>
      <c r="L2" s="420"/>
      <c r="M2" s="420"/>
    </row>
    <row r="3" spans="1:13" ht="15.75">
      <c r="A3" s="1554" t="s">
        <v>1131</v>
      </c>
      <c r="B3" s="1554"/>
      <c r="C3" s="1554"/>
      <c r="D3" s="1554"/>
      <c r="E3" s="420"/>
      <c r="F3" s="420"/>
      <c r="G3" s="420"/>
      <c r="H3" s="420"/>
      <c r="I3" s="420"/>
      <c r="J3" s="420"/>
      <c r="K3" s="420"/>
      <c r="L3" s="420"/>
      <c r="M3" s="420"/>
    </row>
    <row r="4" spans="1:13" ht="15.75">
      <c r="A4" s="1557" t="str">
        <f>+'PSO TCOS'!F7</f>
        <v>PUBLIC SERVICE COMPANY OF OKLAHOMA</v>
      </c>
      <c r="B4" s="1557"/>
      <c r="C4" s="1557"/>
      <c r="D4" s="1557"/>
      <c r="E4" s="711"/>
      <c r="F4" s="711"/>
      <c r="G4" s="711"/>
      <c r="H4" s="711"/>
      <c r="I4" s="711"/>
      <c r="J4" s="711"/>
      <c r="K4" s="711"/>
      <c r="L4" s="711"/>
      <c r="M4" s="711"/>
    </row>
    <row r="5" spans="1:13">
      <c r="A5" s="911"/>
      <c r="B5" s="911"/>
      <c r="C5" s="911"/>
      <c r="D5" s="911"/>
    </row>
    <row r="6" spans="1:13" ht="14.25">
      <c r="A6" s="912" t="s">
        <v>580</v>
      </c>
      <c r="B6" s="913"/>
      <c r="C6" s="914" t="s">
        <v>384</v>
      </c>
      <c r="D6" s="915" t="s">
        <v>346</v>
      </c>
    </row>
    <row r="7" spans="1:13" ht="15">
      <c r="A7" s="916"/>
      <c r="B7" s="917"/>
      <c r="C7" s="918"/>
      <c r="D7" s="918"/>
    </row>
    <row r="8" spans="1:13" ht="14.25">
      <c r="A8" s="919">
        <v>1</v>
      </c>
      <c r="B8" s="920" t="s">
        <v>582</v>
      </c>
      <c r="C8" s="921"/>
      <c r="D8" s="869">
        <v>0</v>
      </c>
    </row>
    <row r="9" spans="1:13" ht="14.25">
      <c r="A9" s="921"/>
      <c r="B9" s="921"/>
      <c r="C9" s="921"/>
      <c r="D9" s="921"/>
    </row>
    <row r="10" spans="1:13" ht="14.25">
      <c r="A10" s="921"/>
      <c r="B10" s="921"/>
      <c r="C10" s="921"/>
      <c r="D10" s="921"/>
    </row>
    <row r="11" spans="1:13" ht="119.25" customHeight="1">
      <c r="A11" s="922" t="s">
        <v>581</v>
      </c>
      <c r="B11" s="1558" t="s">
        <v>1123</v>
      </c>
      <c r="C11" s="1558"/>
      <c r="D11" s="1558"/>
    </row>
    <row r="12" spans="1:13" ht="14.25">
      <c r="A12" s="921"/>
      <c r="B12" s="921"/>
      <c r="C12" s="921"/>
      <c r="D12" s="921"/>
    </row>
    <row r="13" spans="1:13" ht="14.25">
      <c r="A13" s="921"/>
      <c r="B13" s="921"/>
      <c r="C13" s="921"/>
      <c r="D13" s="921"/>
    </row>
    <row r="14" spans="1:13" s="38" customFormat="1" ht="14.25">
      <c r="A14" s="923"/>
      <c r="B14" s="923"/>
      <c r="C14" s="923"/>
      <c r="D14" s="923"/>
    </row>
    <row r="15" spans="1:13" s="38" customFormat="1" ht="14.25">
      <c r="A15" s="924"/>
      <c r="B15" s="925"/>
      <c r="C15" s="923"/>
      <c r="D15" s="923"/>
    </row>
    <row r="16" spans="1:13" ht="15" customHeight="1">
      <c r="A16" s="926"/>
    </row>
    <row r="17" spans="2:2" ht="15.75">
      <c r="B17" s="720"/>
    </row>
    <row r="18" spans="2:2" ht="15.75">
      <c r="B18" s="720"/>
    </row>
  </sheetData>
  <mergeCells count="5">
    <mergeCell ref="A1:D1"/>
    <mergeCell ref="A2:D2"/>
    <mergeCell ref="A3:D3"/>
    <mergeCell ref="A4:D4"/>
    <mergeCell ref="B11:D11"/>
  </mergeCells>
  <pageMargins left="0.7" right="0.7" top="0.75" bottom="0.75" header="0.3" footer="0.3"/>
  <pageSetup orientation="portrait" r:id="rId1"/>
  <headerFooter>
    <oddHeader xml:space="preserve">&amp;RAEP - SPP Formula Rate
TCOS - WS B
Page: &amp;P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48</vt:i4>
      </vt:variant>
    </vt:vector>
  </HeadingPairs>
  <TitlesOfParts>
    <vt:vector size="88" baseType="lpstr">
      <vt:lpstr>NITS Including True Up</vt:lpstr>
      <vt:lpstr>Zonal Rates</vt:lpstr>
      <vt:lpstr>Sch 1 Rates</vt:lpstr>
      <vt:lpstr>PSO Sch 11 Rates</vt:lpstr>
      <vt:lpstr>SWE Sch 11 Rates</vt:lpstr>
      <vt:lpstr>Load WS</vt:lpstr>
      <vt:lpstr>PSO TCOS</vt:lpstr>
      <vt:lpstr>PSO WS A RB Support </vt:lpstr>
      <vt:lpstr>PSO WS B - Facility credits</vt:lpstr>
      <vt:lpstr>PSO WS C ADIT &amp; ADITC</vt:lpstr>
      <vt:lpstr>PSO WS C-1 ADIT EOY</vt:lpstr>
      <vt:lpstr>PSO WS C-2 ADIT BOY</vt:lpstr>
      <vt:lpstr>PSO WS C-3 ADIT Proration</vt:lpstr>
      <vt:lpstr>PSO WS D Working Capital</vt:lpstr>
      <vt:lpstr>PSO WS E IPP Credits</vt:lpstr>
      <vt:lpstr>PSO WS F BPU ATRR</vt:lpstr>
      <vt:lpstr>PSO WS G BPU ATRR</vt:lpstr>
      <vt:lpstr>PSO WS H Rev Credits</vt:lpstr>
      <vt:lpstr>PSO WS I Exp Adj</vt:lpstr>
      <vt:lpstr>PSO WS J Misc Exp</vt:lpstr>
      <vt:lpstr>PSO WS K State Taxes</vt:lpstr>
      <vt:lpstr>PSO WS L Other Taxes</vt:lpstr>
      <vt:lpstr>PSO WS M Avg Cap Structure</vt:lpstr>
      <vt:lpstr>SWEPCO TCOS</vt:lpstr>
      <vt:lpstr>SWEPCO WS A RB Support </vt:lpstr>
      <vt:lpstr>SWEPCO WS B - Facility credits</vt:lpstr>
      <vt:lpstr>SWEPCO WS C ADIT &amp; ADITC</vt:lpstr>
      <vt:lpstr>SWEPCO WS C-1 ADIT EOY</vt:lpstr>
      <vt:lpstr>SWEPCO WS C-2 ADIT BOY</vt:lpstr>
      <vt:lpstr>SWEPCO WS C-3 ADIT Proration</vt:lpstr>
      <vt:lpstr>SWEPCO WS D Working Capital</vt:lpstr>
      <vt:lpstr>SWEPCO WS E IPP Credits</vt:lpstr>
      <vt:lpstr>SWEPCO WS F BPU ATRR</vt:lpstr>
      <vt:lpstr>SWEPCO WS G BPU ATRR</vt:lpstr>
      <vt:lpstr>SWEPCO WS H Rev Credits</vt:lpstr>
      <vt:lpstr>SWEPCO WS I Exp Adj</vt:lpstr>
      <vt:lpstr>SWEPCO WS J Misc Exp</vt:lpstr>
      <vt:lpstr>SWEPCO WS K State Taxes</vt:lpstr>
      <vt:lpstr>SWEPCO WS L Other Taxes</vt:lpstr>
      <vt:lpstr>SWEPCO WS M Avg Cap Structure</vt:lpstr>
      <vt:lpstr>'NITS Including True Up'!Print_Area</vt:lpstr>
      <vt:lpstr>'PSO Sch 11 Rates'!Print_Area</vt:lpstr>
      <vt:lpstr>'PSO TCOS'!Print_Area</vt:lpstr>
      <vt:lpstr>'PSO WS A RB Support '!Print_Area</vt:lpstr>
      <vt:lpstr>'PSO WS C ADIT &amp; ADITC'!Print_Area</vt:lpstr>
      <vt:lpstr>'PSO WS C-1 ADIT EOY'!Print_Area</vt:lpstr>
      <vt:lpstr>'PSO WS C-2 ADIT BOY'!Print_Area</vt:lpstr>
      <vt:lpstr>'PSO WS C-3 ADIT Proration'!Print_Area</vt:lpstr>
      <vt:lpstr>'PSO WS D Working Capital'!Print_Area</vt:lpstr>
      <vt:lpstr>'PSO WS E IPP Credits'!Print_Area</vt:lpstr>
      <vt:lpstr>'PSO WS F BPU ATRR'!Print_Area</vt:lpstr>
      <vt:lpstr>'PSO WS G BPU ATRR'!Print_Area</vt:lpstr>
      <vt:lpstr>'PSO WS H Rev Credits'!Print_Area</vt:lpstr>
      <vt:lpstr>'PSO WS I Exp Adj'!Print_Area</vt:lpstr>
      <vt:lpstr>'PSO WS J Misc Exp'!Print_Area</vt:lpstr>
      <vt:lpstr>'PSO WS K State Taxes'!Print_Area</vt:lpstr>
      <vt:lpstr>'PSO WS L Other Taxes'!Print_Area</vt:lpstr>
      <vt:lpstr>'PSO WS M Avg Cap Structure'!Print_Area</vt:lpstr>
      <vt:lpstr>'Sch 1 Rates'!Print_Area</vt:lpstr>
      <vt:lpstr>'SWE Sch 11 Rates'!Print_Area</vt:lpstr>
      <vt:lpstr>'SWEPCO TCOS'!Print_Area</vt:lpstr>
      <vt:lpstr>'SWEPCO WS A RB Support '!Print_Area</vt:lpstr>
      <vt:lpstr>'SWEPCO WS C ADIT &amp; ADITC'!Print_Area</vt:lpstr>
      <vt:lpstr>'SWEPCO WS C-1 ADIT EOY'!Print_Area</vt:lpstr>
      <vt:lpstr>'SWEPCO WS C-2 ADIT BOY'!Print_Area</vt:lpstr>
      <vt:lpstr>'SWEPCO WS C-3 ADIT Proration'!Print_Area</vt:lpstr>
      <vt:lpstr>'SWEPCO WS D Working Capital'!Print_Area</vt:lpstr>
      <vt:lpstr>'SWEPCO WS E IPP Credits'!Print_Area</vt:lpstr>
      <vt:lpstr>'SWEPCO WS F BPU ATRR'!Print_Area</vt:lpstr>
      <vt:lpstr>'SWEPCO WS G BPU ATRR'!Print_Area</vt:lpstr>
      <vt:lpstr>'SWEPCO WS H Rev Credits'!Print_Area</vt:lpstr>
      <vt:lpstr>'SWEPCO WS I Exp Adj'!Print_Area</vt:lpstr>
      <vt:lpstr>'SWEPCO WS J Misc Exp'!Print_Area</vt:lpstr>
      <vt:lpstr>'SWEPCO WS K State Taxes'!Print_Area</vt:lpstr>
      <vt:lpstr>'SWEPCO WS L Other Taxes'!Print_Area</vt:lpstr>
      <vt:lpstr>'SWEPCO WS M Avg Cap Structure'!Print_Area</vt:lpstr>
      <vt:lpstr>'Zonal Rates'!Print_Area</vt:lpstr>
      <vt:lpstr>'PSO WS A RB Support '!Print_Titles</vt:lpstr>
      <vt:lpstr>'PSO WS C-1 ADIT EOY'!Print_Titles</vt:lpstr>
      <vt:lpstr>'PSO WS C-2 ADIT BOY'!Print_Titles</vt:lpstr>
      <vt:lpstr>'PSO WS D Working Capital'!Print_Titles</vt:lpstr>
      <vt:lpstr>'PSO WS L Other Taxes'!Print_Titles</vt:lpstr>
      <vt:lpstr>'SWE Sch 11 Rates'!Print_Titles</vt:lpstr>
      <vt:lpstr>'SWEPCO WS A RB Support '!Print_Titles</vt:lpstr>
      <vt:lpstr>'SWEPCO WS C-1 ADIT EOY'!Print_Titles</vt:lpstr>
      <vt:lpstr>'SWEPCO WS C-2 ADIT BOY'!Print_Titles</vt:lpstr>
      <vt:lpstr>'SWEPCO WS D Working Capital'!Print_Titles</vt:lpstr>
      <vt:lpstr>'SWEPCO WS L Other Taxes'!Print_Titles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Heintz - Weiss - Munsey</dc:creator>
  <cp:lastModifiedBy>s998095</cp:lastModifiedBy>
  <cp:lastPrinted>2018-11-01T12:03:24Z</cp:lastPrinted>
  <dcterms:created xsi:type="dcterms:W3CDTF">2005-06-15T14:56:19Z</dcterms:created>
  <dcterms:modified xsi:type="dcterms:W3CDTF">2018-12-13T15:14:05Z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{8706B5B4-C79F-48E1-A40E-C2C7CA9F9664}</vt:lpwstr>
  </property>
</Properties>
</file>